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応燕マサラ\Desktop\"/>
    </mc:Choice>
  </mc:AlternateContent>
  <xr:revisionPtr revIDLastSave="0" documentId="8_{3DF65C26-E0F8-4C5A-8DA4-376901C8F397}" xr6:coauthVersionLast="47" xr6:coauthVersionMax="47" xr10:uidLastSave="{00000000-0000-0000-0000-000000000000}"/>
  <bookViews>
    <workbookView xWindow="-120" yWindow="0" windowWidth="40200" windowHeight="21000" xr2:uid="{00000000-000D-0000-FFFF-FFFF00000000}"/>
  </bookViews>
  <sheets>
    <sheet name="横長成分表_説明" sheetId="34" r:id="rId1"/>
    <sheet name="利用規約" sheetId="35" r:id="rId2"/>
    <sheet name="v3.13 成分表(これに入力してください)" sheetId="32" r:id="rId3"/>
    <sheet name="総合評価点数配分" sheetId="16" state="hidden" r:id="rId4"/>
    <sheet name="Sheet1" sheetId="21" state="hidden" r:id="rId5"/>
    <sheet name="参考データ" sheetId="10" r:id="rId6"/>
    <sheet name="入力_総合評価" sheetId="9" state="hidden" r:id="rId7"/>
    <sheet name="評価基準 (2)" sheetId="15" state="hidden" r:id="rId8"/>
    <sheet name="入力_成分表" sheetId="3" state="hidden" r:id="rId9"/>
  </sheets>
  <externalReferences>
    <externalReference r:id="rId10"/>
    <externalReference r:id="rId11"/>
  </externalReferences>
  <definedNames>
    <definedName name="_xlnm.Print_Area" localSheetId="5">参考データ!$A$1:$I$45</definedName>
    <definedName name="_xlnm.Print_Area" localSheetId="8">入力:'[1]#REF'!$B$2:$H$9</definedName>
    <definedName name="_xlnm.Print_Area" localSheetId="6">入力:'[2]#REF'!$B$2:$G$10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2" l="1"/>
  <c r="AD26" i="34"/>
  <c r="I13" i="34" s="1"/>
  <c r="N34" i="34"/>
  <c r="O34" i="34" s="1"/>
  <c r="R34" i="34" s="1"/>
  <c r="T34" i="34" s="1"/>
  <c r="N33" i="34"/>
  <c r="O33" i="34" s="1"/>
  <c r="R33" i="34" s="1"/>
  <c r="N32" i="34"/>
  <c r="O32" i="34" s="1"/>
  <c r="R32" i="34" s="1"/>
  <c r="U28" i="34"/>
  <c r="O28" i="34"/>
  <c r="U27" i="34"/>
  <c r="W22" i="34"/>
  <c r="X21" i="34"/>
  <c r="Y21" i="34" s="1"/>
  <c r="Z21" i="34" s="1"/>
  <c r="O21" i="34"/>
  <c r="X20" i="34"/>
  <c r="Y20" i="34" s="1"/>
  <c r="Z20" i="34" s="1"/>
  <c r="O20" i="34"/>
  <c r="X19" i="34"/>
  <c r="Y19" i="34" s="1"/>
  <c r="R19" i="34"/>
  <c r="P19" i="34"/>
  <c r="Q19" i="34" s="1"/>
  <c r="X18" i="34"/>
  <c r="Y18" i="34" s="1"/>
  <c r="R18" i="34"/>
  <c r="P18" i="34"/>
  <c r="Q18" i="34" s="1"/>
  <c r="X17" i="34"/>
  <c r="Y17" i="34" s="1"/>
  <c r="Z17" i="34" s="1"/>
  <c r="R17" i="34"/>
  <c r="P17" i="34"/>
  <c r="Q17" i="34" s="1"/>
  <c r="X16" i="34"/>
  <c r="Y16" i="34" s="1"/>
  <c r="Z16" i="34" s="1"/>
  <c r="P16" i="34"/>
  <c r="Q16" i="34" s="1"/>
  <c r="Q21" i="34" s="1"/>
  <c r="X15" i="34"/>
  <c r="Y15" i="34" s="1"/>
  <c r="Z15" i="34" s="1"/>
  <c r="P15" i="34"/>
  <c r="Q15" i="34" s="1"/>
  <c r="X14" i="34"/>
  <c r="Y14" i="34" s="1"/>
  <c r="Z14" i="34" s="1"/>
  <c r="R14" i="34"/>
  <c r="P14" i="34"/>
  <c r="Q14" i="34" s="1"/>
  <c r="X13" i="34"/>
  <c r="Y13" i="34" s="1"/>
  <c r="P13" i="34"/>
  <c r="Q13" i="34" s="1"/>
  <c r="X12" i="34"/>
  <c r="Y12" i="34" s="1"/>
  <c r="Z12" i="34" s="1"/>
  <c r="R12" i="34"/>
  <c r="P12" i="34"/>
  <c r="Q12" i="34" s="1"/>
  <c r="X11" i="34"/>
  <c r="Y11" i="34" s="1"/>
  <c r="P11" i="34"/>
  <c r="Q11" i="34" s="1"/>
  <c r="X10" i="34"/>
  <c r="Y10" i="34" s="1"/>
  <c r="P10" i="34"/>
  <c r="Q10" i="34" s="1"/>
  <c r="X9" i="34"/>
  <c r="Y9" i="34" s="1"/>
  <c r="Z9" i="34" s="1"/>
  <c r="P9" i="34"/>
  <c r="Q9" i="34" s="1"/>
  <c r="X8" i="34"/>
  <c r="Y8" i="34" s="1"/>
  <c r="P8" i="34"/>
  <c r="Q8" i="34" s="1"/>
  <c r="J8" i="34"/>
  <c r="F8" i="34"/>
  <c r="X7" i="34"/>
  <c r="Y7" i="34" s="1"/>
  <c r="Z7" i="34" s="1"/>
  <c r="P7" i="34"/>
  <c r="X6" i="34"/>
  <c r="Y6" i="34" s="1"/>
  <c r="P6" i="34"/>
  <c r="Q6" i="34" s="1"/>
  <c r="X5" i="34"/>
  <c r="P5" i="34"/>
  <c r="J6" i="32"/>
  <c r="F6" i="32"/>
  <c r="AC23" i="32"/>
  <c r="AC24" i="32" s="1"/>
  <c r="AC20" i="32" s="1"/>
  <c r="AC21" i="32"/>
  <c r="AC22" i="32" s="1"/>
  <c r="AC18" i="32"/>
  <c r="AC17" i="32"/>
  <c r="AC14" i="32"/>
  <c r="AC11" i="32"/>
  <c r="AC10" i="32"/>
  <c r="AC9" i="32"/>
  <c r="AC8" i="32"/>
  <c r="N32" i="32"/>
  <c r="O32" i="32" s="1"/>
  <c r="R32" i="32" s="1"/>
  <c r="T32" i="32" s="1"/>
  <c r="N31" i="32"/>
  <c r="O31" i="32" s="1"/>
  <c r="R31" i="32" s="1"/>
  <c r="N30" i="32"/>
  <c r="O30" i="32" s="1"/>
  <c r="R30" i="32" s="1"/>
  <c r="U26" i="32"/>
  <c r="O26" i="32"/>
  <c r="U25" i="32"/>
  <c r="W20" i="32"/>
  <c r="X19" i="32"/>
  <c r="Y19" i="32" s="1"/>
  <c r="O19" i="32"/>
  <c r="X18" i="32"/>
  <c r="Y18" i="32" s="1"/>
  <c r="O18" i="32"/>
  <c r="X17" i="32"/>
  <c r="Y17" i="32" s="1"/>
  <c r="P17" i="32"/>
  <c r="Q17" i="32" s="1"/>
  <c r="X16" i="32"/>
  <c r="Y16" i="32" s="1"/>
  <c r="P16" i="32"/>
  <c r="Q16" i="32" s="1"/>
  <c r="X15" i="32"/>
  <c r="Y15" i="32" s="1"/>
  <c r="P15" i="32"/>
  <c r="Q15" i="32" s="1"/>
  <c r="X14" i="32"/>
  <c r="Y14" i="32" s="1"/>
  <c r="P14" i="32"/>
  <c r="Q14" i="32" s="1"/>
  <c r="X13" i="32"/>
  <c r="Y13" i="32" s="1"/>
  <c r="P13" i="32"/>
  <c r="Q13" i="32" s="1"/>
  <c r="X12" i="32"/>
  <c r="Y12" i="32" s="1"/>
  <c r="Z12" i="32" s="1"/>
  <c r="P12" i="32"/>
  <c r="Q12" i="32" s="1"/>
  <c r="X11" i="32"/>
  <c r="Y11" i="32" s="1"/>
  <c r="P11" i="32"/>
  <c r="Q11" i="32" s="1"/>
  <c r="X10" i="32"/>
  <c r="Y10" i="32" s="1"/>
  <c r="Z10" i="32" s="1"/>
  <c r="P10" i="32"/>
  <c r="Q10" i="32" s="1"/>
  <c r="X9" i="32"/>
  <c r="Y9" i="32" s="1"/>
  <c r="P9" i="32"/>
  <c r="Q9" i="32" s="1"/>
  <c r="X8" i="32"/>
  <c r="Y8" i="32" s="1"/>
  <c r="P8" i="32"/>
  <c r="Q8" i="32" s="1"/>
  <c r="X7" i="32"/>
  <c r="Y7" i="32" s="1"/>
  <c r="P7" i="32"/>
  <c r="Q7" i="32" s="1"/>
  <c r="X6" i="32"/>
  <c r="Y6" i="32" s="1"/>
  <c r="P6" i="32"/>
  <c r="Q6" i="32" s="1"/>
  <c r="X5" i="32"/>
  <c r="Y5" i="32" s="1"/>
  <c r="P5" i="32"/>
  <c r="Q5" i="32" s="1"/>
  <c r="X4" i="32"/>
  <c r="Y4" i="32" s="1"/>
  <c r="P4" i="32"/>
  <c r="Q4" i="32" s="1"/>
  <c r="X3" i="32"/>
  <c r="P3" i="32"/>
  <c r="Q3" i="32" s="1"/>
  <c r="W25" i="34" l="1"/>
  <c r="W26" i="34" s="1"/>
  <c r="D7" i="34" s="1"/>
  <c r="P20" i="34"/>
  <c r="AD8" i="34"/>
  <c r="X22" i="34"/>
  <c r="Q7" i="34"/>
  <c r="P21" i="34"/>
  <c r="AD5" i="34"/>
  <c r="W28" i="34"/>
  <c r="T32" i="34"/>
  <c r="AD11" i="34"/>
  <c r="Y5" i="34"/>
  <c r="Q5" i="34"/>
  <c r="AC4" i="32"/>
  <c r="AC5" i="32"/>
  <c r="AC6" i="32"/>
  <c r="T30" i="32"/>
  <c r="Q19" i="32"/>
  <c r="AC7" i="32"/>
  <c r="P19" i="32"/>
  <c r="AC25" i="32"/>
  <c r="AD9" i="32" s="1"/>
  <c r="X20" i="32"/>
  <c r="W23" i="32"/>
  <c r="W24" i="32" s="1"/>
  <c r="Q18" i="32"/>
  <c r="AD3" i="32"/>
  <c r="W26" i="32"/>
  <c r="AC19" i="32"/>
  <c r="AD6" i="32" s="1"/>
  <c r="Y3" i="32"/>
  <c r="P18" i="32"/>
  <c r="R16" i="32" l="1"/>
  <c r="R3" i="32"/>
  <c r="R7" i="34"/>
  <c r="Q20" i="34"/>
  <c r="R5" i="34"/>
  <c r="Y22" i="34"/>
  <c r="Z5" i="34"/>
  <c r="AD14" i="34"/>
  <c r="R17" i="32"/>
  <c r="R15" i="32"/>
  <c r="R10" i="32"/>
  <c r="R4" i="32"/>
  <c r="R8" i="32"/>
  <c r="R6" i="32"/>
  <c r="R14" i="32"/>
  <c r="R13" i="32"/>
  <c r="R7" i="32"/>
  <c r="R11" i="32"/>
  <c r="R5" i="32"/>
  <c r="AD12" i="32"/>
  <c r="AD15" i="32" s="1"/>
  <c r="R12" i="32"/>
  <c r="R9" i="32"/>
  <c r="Y20" i="32"/>
  <c r="Z13" i="34" l="1"/>
  <c r="Z19" i="34"/>
  <c r="Z8" i="34"/>
  <c r="Z6" i="34"/>
  <c r="Z18" i="34"/>
  <c r="R13" i="34"/>
  <c r="R10" i="34"/>
  <c r="R6" i="34"/>
  <c r="R20" i="34" s="1"/>
  <c r="R11" i="34"/>
  <c r="R15" i="34"/>
  <c r="R8" i="34"/>
  <c r="R16" i="34"/>
  <c r="R9" i="34"/>
  <c r="Z10" i="34"/>
  <c r="Z22" i="34" s="1"/>
  <c r="Z11" i="34"/>
  <c r="AD17" i="34"/>
  <c r="AD20" i="34" s="1"/>
  <c r="E13" i="34" s="1"/>
  <c r="Z15" i="32"/>
  <c r="Z6" i="32"/>
  <c r="Z7" i="32"/>
  <c r="Z19" i="32"/>
  <c r="Z14" i="32"/>
  <c r="Z11" i="32"/>
  <c r="Z3" i="32"/>
  <c r="Z4" i="32"/>
  <c r="Z5" i="32"/>
  <c r="Z8" i="32"/>
  <c r="Z13" i="32"/>
  <c r="Z17" i="32"/>
  <c r="Z18" i="32"/>
  <c r="AD18" i="32"/>
  <c r="E11" i="32" s="1"/>
  <c r="R18" i="32"/>
  <c r="Z16" i="32"/>
  <c r="Z9" i="32"/>
  <c r="AD24" i="32"/>
  <c r="I11" i="32" s="1"/>
  <c r="AD23" i="34" l="1"/>
  <c r="E14" i="34" s="1"/>
  <c r="Z20" i="32"/>
  <c r="AD21" i="32"/>
  <c r="E12" i="32" s="1"/>
  <c r="S6" i="16" l="1"/>
  <c r="S4" i="16"/>
  <c r="L13" i="16"/>
  <c r="M13" i="16" s="1"/>
  <c r="K16" i="16" s="1"/>
  <c r="S8" i="16"/>
  <c r="S7" i="16"/>
  <c r="S5" i="16"/>
  <c r="Q9" i="16" s="1"/>
  <c r="Q26" i="16"/>
  <c r="Z7" i="16" s="1"/>
  <c r="S26" i="16"/>
  <c r="Q10" i="9" s="1"/>
  <c r="AA7" i="16"/>
  <c r="R10" i="9" s="1"/>
  <c r="AA5" i="16"/>
  <c r="AA6" i="16"/>
  <c r="R8" i="9"/>
  <c r="R6" i="9"/>
  <c r="Q8" i="9"/>
  <c r="Q6" i="9"/>
  <c r="D37" i="15"/>
  <c r="AA4" i="16" l="1"/>
  <c r="Z4" i="16"/>
  <c r="S9" i="16"/>
  <c r="Q4" i="9" s="1"/>
  <c r="AA3" i="16"/>
  <c r="R2" i="9" s="1"/>
  <c r="M16" i="16"/>
  <c r="Q2" i="9" s="1"/>
  <c r="Z3" i="16"/>
  <c r="R12" i="9"/>
  <c r="R4" i="9" l="1"/>
  <c r="AA9" i="16"/>
  <c r="AA10" i="16" s="1"/>
  <c r="Q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応燕マサラ</author>
    <author>武藤勝哉</author>
  </authors>
  <commentList>
    <comment ref="O5" authorId="0" shapeId="0" xr:uid="{238B3C12-2EAE-44E4-8044-9C3045BEEACD}">
      <text>
        <r>
          <rPr>
            <b/>
            <sz val="12"/>
            <color indexed="81"/>
            <rFont val="BIZ UDPゴシック"/>
            <family val="3"/>
            <charset val="128"/>
          </rPr>
          <t>もともと空白の場合はそのまま空白に。
＜0.1表示の場合は「0」を入力。
それ以外はそのまま数値を入力。</t>
        </r>
      </text>
    </comment>
    <comment ref="Q5" authorId="0" shapeId="0" xr:uid="{03977926-BF82-41F0-9D49-4A2F17799C48}">
      <text>
        <r>
          <rPr>
            <b/>
            <sz val="12"/>
            <color indexed="81"/>
            <rFont val="BIZ UDPゴシック"/>
            <family val="3"/>
            <charset val="128"/>
          </rPr>
          <t>ミリバル。ミリバル％は自動的に計算されるので、記載があった場合でも入力不要です</t>
        </r>
      </text>
    </comment>
    <comment ref="AD11" authorId="1" shapeId="0" xr:uid="{7E3B7C5F-D232-435A-A744-6AF15A3BA33A}">
      <text>
        <r>
          <rPr>
            <sz val="12"/>
            <color indexed="81"/>
            <rFont val="BIZ UDPゴシック"/>
            <family val="3"/>
            <charset val="128"/>
          </rPr>
          <t>Ae（有効アルカリ成分）
皮膚のヌルヌル感を与える Na 系アルカリ（NaOH系＋0.18×NaBO₂系＋0.10×NaHCO₃系）の合計。Ae が大きいほど“石鹸感”が強い。</t>
        </r>
      </text>
    </comment>
    <comment ref="AD14" authorId="1" shapeId="0" xr:uid="{9E195913-DBA4-4E60-AEE6-7EBDC0E62DA1}">
      <text>
        <r>
          <rPr>
            <sz val="12"/>
            <color indexed="81"/>
            <rFont val="BIZ UDPゴシック"/>
            <family val="3"/>
            <charset val="128"/>
          </rPr>
          <t>Ke（阻害割合）
Ca²⁺＋Mg²⁺が Ae＋(Ca＋Mg) に占める割合。Ca/Mg が多いほど “金属石鹸” 生成でヌルヌル感を抑制。</t>
        </r>
      </text>
    </comment>
    <comment ref="O16" authorId="0" shapeId="0" xr:uid="{F99DC599-F076-4026-93FA-497253DB4EA0}">
      <text>
        <r>
          <rPr>
            <b/>
            <sz val="12"/>
            <color indexed="81"/>
            <rFont val="BIZ UDPゴシック"/>
            <family val="3"/>
            <charset val="128"/>
          </rPr>
          <t>成分表に総鉄イオンしか記載が無い場合はどちらかに入力してミリバルが同じ方を採用してください</t>
        </r>
      </text>
    </comment>
    <comment ref="AD17" authorId="1" shapeId="0" xr:uid="{C7F9A7D5-BDC2-4AB4-95B3-CA0AE9A7E93E}">
      <text>
        <r>
          <rPr>
            <sz val="12"/>
            <color indexed="81"/>
            <rFont val="BIZ UDPゴシック"/>
            <family val="3"/>
            <charset val="128"/>
          </rPr>
          <t>Ae_crit（判定閾値）
ヌルヌル感を得るために必要な最小 Ae：[Ae]₍crit₎ = 0.3×(1–Ke) ÷ (0.55–1.55×Ke)</t>
        </r>
      </text>
    </comment>
    <comment ref="W20" authorId="0" shapeId="0" xr:uid="{57BB3D75-72C6-4451-B79D-1F860B8113A1}">
      <text>
        <r>
          <rPr>
            <b/>
            <sz val="12"/>
            <color indexed="81"/>
            <rFont val="BIZ UDPゴシック"/>
            <family val="3"/>
            <charset val="128"/>
          </rPr>
          <t>ここは『メタけい酸イオン』です。
『メタけい酸』は左下の非解離成分に入力すること。
下のメタホウ酸イオンも同様です。</t>
        </r>
      </text>
    </comment>
    <comment ref="AD20" authorId="1" shapeId="0" xr:uid="{4E95241F-7DDE-454B-992D-6AE474C3A104}">
      <text>
        <r>
          <rPr>
            <sz val="12"/>
            <color indexed="81"/>
            <rFont val="BIZ UDPゴシック"/>
            <family val="3"/>
            <charset val="128"/>
          </rPr>
          <t>ヌルヌル判定
Ae ≥ Ae_crit → ヌルヌルする。Ae &lt; Ae_crit → ヌルヌルしない。
イオンの数字を何も入れていない状態だと”成分を入力してください”と表示されます。
すべての成分を入れ終わったら自動でどんな肌触りかを判断してくれます。</t>
        </r>
      </text>
    </comment>
    <comment ref="O21" authorId="0" shapeId="0" xr:uid="{D8F50415-97F5-47E3-9F85-67A381A37E08}">
      <text>
        <r>
          <rPr>
            <b/>
            <sz val="12"/>
            <color indexed="81"/>
            <rFont val="BIZ UDPゴシック"/>
            <family val="3"/>
            <charset val="128"/>
          </rPr>
          <t>総鉄イオンしか記入がない場合も、上記鉄Ⅱ、Ⅲに入れてください。こちらは鉄Ⅱ、Ⅲの総合値が自動出力されます。</t>
        </r>
      </text>
    </comment>
    <comment ref="AD23" authorId="1" shapeId="0" xr:uid="{A0168AB1-D38D-4394-9F92-83CB4FE2307C}">
      <text>
        <r>
          <rPr>
            <sz val="12"/>
            <color indexed="81"/>
            <rFont val="BIZ UDPゴシック"/>
            <family val="3"/>
            <charset val="128"/>
          </rPr>
          <t>～1.0 ✖：ヌルヌルしない
1.0 ～ 2.5 △：ややヌルヌル
2.5 ～ 4.0 ◯：しっかりヌルヌル
4.0 ～ 7.0 ◎：強いヌルヌル
7.0 ～ 12.0 ★：超ヌルヌル
12.0 ～ ☆：奇跡のヌルヌル</t>
        </r>
      </text>
    </comment>
    <comment ref="AB27" authorId="0" shapeId="0" xr:uid="{6345A61C-CAD7-446E-ADA7-7043E4863B04}">
      <text>
        <r>
          <rPr>
            <b/>
            <sz val="14"/>
            <color indexed="81"/>
            <rFont val="BIZ UDPゴシック"/>
            <family val="3"/>
            <charset val="128"/>
          </rPr>
          <t>高温の場合で「加水有」の場合は自動的に稀釈された数値で計算されます。
高温なほど希釈率は上がり、ヌルヌル値は相対的に下がります。
稀釈されていない数値を調べたい場合はドロップダウンリストから『補正しない』を選択すると、源泉そのままの数値を計測出来ます。
また、冷泉が加温された場合は、ヌルヌル値が上昇します。その際も補正しないを選択すると、そのまま源泉の数値が表示されます。
例えば、水風呂でそのまま利用されている場合は『補正しない』を選択してください。
高温泉で「加水なし」の場合は「自動補正」のままにしておいてください。</t>
        </r>
        <r>
          <rPr>
            <b/>
            <sz val="12"/>
            <color indexed="81"/>
            <rFont val="BIZ UDPゴシック"/>
            <family val="3"/>
            <charset val="128"/>
          </rPr>
          <t xml:space="preserve">
</t>
        </r>
      </text>
    </comment>
    <comment ref="T32" authorId="0" shapeId="0" xr:uid="{238D99DD-B1F7-4E7A-BAA5-4B931089DE13}">
      <text>
        <r>
          <rPr>
            <b/>
            <sz val="12"/>
            <color indexed="81"/>
            <rFont val="BIZ UDPゴシック"/>
            <family val="3"/>
            <charset val="128"/>
          </rPr>
          <t>硫黄泉が『硫黄型』『硫化水素型』かを判別する計算機です。
比較値が『チオ硫酸・硫化水素イオン』が上の場合『硫黄型』
遊離硫化水素が多い場合は『硫化水素型』となります。
実機では多い方に背景色が付きます。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武藤勝哉</author>
  </authors>
  <commentList>
    <comment ref="AD9" authorId="0" shapeId="0" xr:uid="{73D429EE-C02F-4C11-B640-10EDD70551A0}">
      <text>
        <r>
          <rPr>
            <sz val="12"/>
            <color indexed="81"/>
            <rFont val="BIZ UDPゴシック"/>
            <family val="3"/>
            <charset val="128"/>
          </rPr>
          <t>Ae（有効アルカリ成分）
皮膚のヌルヌル感を与える Na 系アルカリ（NaOH系＋0.18×NaBO₂系＋0.10×NaHCO₃系）の合計。Ae が大きいほど“石鹸感”が強い。</t>
        </r>
      </text>
    </comment>
    <comment ref="AD12" authorId="0" shapeId="0" xr:uid="{692EFCC6-F87A-4C92-9736-9265CEAC6A35}">
      <text>
        <r>
          <rPr>
            <sz val="12"/>
            <color indexed="81"/>
            <rFont val="BIZ UDPゴシック"/>
            <family val="3"/>
            <charset val="128"/>
          </rPr>
          <t>Ke（阻害割合）
Ca²⁺＋Mg²⁺が Ae＋(Ca＋Mg) に占める割合。Ca/Mg が多いほど “金属石鹸” 生成でヌルヌル感を抑制。</t>
        </r>
      </text>
    </comment>
    <comment ref="AD15" authorId="0" shapeId="0" xr:uid="{18C4D63E-A198-4507-9FE2-1AE4FB647C86}">
      <text>
        <r>
          <rPr>
            <sz val="12"/>
            <color indexed="81"/>
            <rFont val="BIZ UDPゴシック"/>
            <family val="3"/>
            <charset val="128"/>
          </rPr>
          <t>Ae_crit（判定閾値）
ヌルヌル感を得るために必要な最小 Ae：[Ae]₍crit₎ = 0.3×(1–Ke) ÷ (0.55–1.55×Ke)</t>
        </r>
      </text>
    </comment>
    <comment ref="AD18" authorId="0" shapeId="0" xr:uid="{8C4BAE0D-5625-4CFF-92EF-01DAA9F80431}">
      <text>
        <r>
          <rPr>
            <sz val="12"/>
            <color indexed="81"/>
            <rFont val="BIZ UDPゴシック"/>
            <family val="3"/>
            <charset val="128"/>
          </rPr>
          <t>ヌルヌル判定
Ae ≥ Ae_crit → ヌルヌルする。Ae &lt; Ae_crit → ヌルヌルしない。
イオンの数字を何も入れていない状態だと”成分を入力してください”と表示されます。
すべての成分を入れ終わったら自動でどんな肌触りかを判断してくれます。</t>
        </r>
      </text>
    </comment>
    <comment ref="AD21" authorId="0" shapeId="0" xr:uid="{719B678C-077F-4746-A332-14950A15C2D3}">
      <text>
        <r>
          <rPr>
            <sz val="12"/>
            <color indexed="81"/>
            <rFont val="BIZ UDPゴシック"/>
            <family val="3"/>
            <charset val="128"/>
          </rPr>
          <t>～1.0 ✖：ヌルヌルしない
1.0 ～ 2.5 △：ややヌルヌル
2.5 ～ 4.0 ◯：しっかりヌルヌル
4.0 ～ 7.0 ◎：強いヌルヌル
7.0 ～ 12.0 ★：超ヌルヌル
12.0 ～ ☆：奇跡のヌルヌル</t>
        </r>
      </text>
    </comment>
  </commentList>
</comments>
</file>

<file path=xl/sharedStrings.xml><?xml version="1.0" encoding="utf-8"?>
<sst xmlns="http://schemas.openxmlformats.org/spreadsheetml/2006/main" count="1074" uniqueCount="637">
  <si>
    <t>施設名</t>
  </si>
  <si>
    <t>マッサージチェア</t>
  </si>
  <si>
    <t>その他</t>
  </si>
  <si>
    <t>泉 質</t>
  </si>
  <si>
    <t>ミリグラム</t>
  </si>
  <si>
    <t>ミリバル</t>
  </si>
  <si>
    <t>ミリバル％</t>
  </si>
  <si>
    <t>リチウムイオン</t>
  </si>
  <si>
    <t>℃</t>
  </si>
  <si>
    <t>ナトリウムイオン</t>
  </si>
  <si>
    <t>塩化物イオン</t>
  </si>
  <si>
    <t>カリウムイオン</t>
  </si>
  <si>
    <t>臭化物イオン</t>
  </si>
  <si>
    <t>アンモニウムイオン</t>
  </si>
  <si>
    <t>マグネシウムイオン</t>
  </si>
  <si>
    <t>水酸化物イオン</t>
  </si>
  <si>
    <t>知 覚 的 試 験</t>
  </si>
  <si>
    <t>カルシウムイオン</t>
  </si>
  <si>
    <t>硫化水素イオン</t>
  </si>
  <si>
    <t>ストロンチウムイオン</t>
  </si>
  <si>
    <t>アルミニウムイオン</t>
  </si>
  <si>
    <t>チオ硫酸イオン</t>
  </si>
  <si>
    <t>バリウムイオン</t>
  </si>
  <si>
    <t>硫酸水素イオン</t>
  </si>
  <si>
    <t>マンガンイオン</t>
  </si>
  <si>
    <t>硫酸イオン</t>
  </si>
  <si>
    <t>硝酸イオン</t>
  </si>
  <si>
    <t>銅イオン</t>
  </si>
  <si>
    <t>炭酸水素イオン</t>
  </si>
  <si>
    <t>亜鉛イオン</t>
  </si>
  <si>
    <t>炭酸イオン</t>
  </si>
  <si>
    <t>泉 質 別 禁 忌 症</t>
  </si>
  <si>
    <t>なし</t>
  </si>
  <si>
    <t>陽イオン合計</t>
  </si>
  <si>
    <t>陰イオン合計</t>
  </si>
  <si>
    <t>加 水</t>
  </si>
  <si>
    <t>非解離成分</t>
  </si>
  <si>
    <t>溶存ガス成分</t>
  </si>
  <si>
    <t>加 温</t>
  </si>
  <si>
    <t>メタケイ酸</t>
  </si>
  <si>
    <t>メタホウ酸</t>
  </si>
  <si>
    <t>消 毒</t>
  </si>
  <si>
    <t>非解離成分合計</t>
  </si>
  <si>
    <t>溶存ガス成分合計</t>
  </si>
  <si>
    <t>源泉名</t>
  </si>
  <si>
    <t>源泉温度</t>
  </si>
  <si>
    <t>浴槽内温度</t>
  </si>
  <si>
    <t>湧出量</t>
  </si>
  <si>
    <t>L／分</t>
  </si>
  <si>
    <t>循 環</t>
  </si>
  <si>
    <r>
      <rPr>
        <b/>
        <sz val="20"/>
        <color theme="1"/>
        <rFont val="HG丸ｺﾞｼｯｸM-PRO"/>
        <family val="3"/>
        <charset val="128"/>
      </rPr>
      <t>pH値</t>
    </r>
    <r>
      <rPr>
        <b/>
        <sz val="12"/>
        <color theme="1"/>
        <rFont val="HG丸ｺﾞｼｯｸM-PRO"/>
        <family val="3"/>
        <charset val="128"/>
      </rPr>
      <t>(水素イオン)</t>
    </r>
  </si>
  <si>
    <t>中性</t>
  </si>
  <si>
    <t>※50以上で
　効能有</t>
  </si>
  <si>
    <t>泉質別禁忌症</t>
  </si>
  <si>
    <t>無</t>
  </si>
  <si>
    <r>
      <rPr>
        <b/>
        <sz val="18"/>
        <color theme="1"/>
        <rFont val="HG丸ｺﾞｼｯｸM-PRO"/>
        <family val="3"/>
        <charset val="128"/>
      </rPr>
      <t>溶存物質</t>
    </r>
    <r>
      <rPr>
        <b/>
        <sz val="14"/>
        <color theme="1"/>
        <rFont val="HG丸ｺﾞｼｯｸM-PRO"/>
        <family val="3"/>
        <charset val="128"/>
      </rPr>
      <t>(浸透圧)</t>
    </r>
  </si>
  <si>
    <t>mg</t>
  </si>
  <si>
    <t>等張性</t>
  </si>
  <si>
    <t>色／におい</t>
  </si>
  <si>
    <t>透明／無臭</t>
  </si>
  <si>
    <t>一般的
適応症</t>
  </si>
  <si>
    <t>関節リウマチ、変形性関節症、腰痛症、神経痛、五十肩、打撲、捻挫、
筋肉痛、冷え性、末梢循環障害、胃腸機能の低下、軽症高血圧、糖尿病、
喘息、肺気腫、痔、自律神経不安定症、睡眠障害、うつ、病後回復期、
疲労回復、健康増進</t>
  </si>
  <si>
    <t>泉質別 適応症</t>
  </si>
  <si>
    <t xml:space="preserve">その他 </t>
  </si>
  <si>
    <t>従業員</t>
  </si>
  <si>
    <t>施設充実度</t>
  </si>
  <si>
    <t>総合点数</t>
  </si>
  <si>
    <t>評価</t>
  </si>
  <si>
    <t>源泉の珍しさ</t>
  </si>
  <si>
    <t>評価点</t>
  </si>
  <si>
    <t>清掃（浴室）</t>
  </si>
  <si>
    <t>単純温泉(319)</t>
  </si>
  <si>
    <t>壁の汚れ</t>
  </si>
  <si>
    <t>無愛想</t>
  </si>
  <si>
    <t>塩化物泉(243)</t>
  </si>
  <si>
    <t>床の汚れ</t>
  </si>
  <si>
    <t>説明足らず</t>
  </si>
  <si>
    <t>塩化物強塩泉</t>
  </si>
  <si>
    <t>鏡</t>
  </si>
  <si>
    <t>不在</t>
  </si>
  <si>
    <t>炭酸水素塩泉(96)</t>
  </si>
  <si>
    <t>イス</t>
  </si>
  <si>
    <t>清掃スタッフの配慮</t>
  </si>
  <si>
    <t>硫酸塩泉(133)</t>
  </si>
  <si>
    <t>桶</t>
  </si>
  <si>
    <t>客前でおしゃべり</t>
  </si>
  <si>
    <r>
      <rPr>
        <sz val="11"/>
        <color rgb="FF000000"/>
        <rFont val="HG丸ｺﾞｼｯｸM-PRO"/>
        <family val="3"/>
        <charset val="128"/>
      </rPr>
      <t>湯の浮遊物</t>
    </r>
    <r>
      <rPr>
        <sz val="8"/>
        <color rgb="FF000000"/>
        <rFont val="HG丸ｺﾞｼｯｸM-PRO"/>
        <family val="3"/>
        <charset val="128"/>
      </rPr>
      <t>※露天の自然物は除く</t>
    </r>
  </si>
  <si>
    <t>お客さんとトラブル</t>
  </si>
  <si>
    <t>特殊成分 (温泉・冷鉱泉も同様)</t>
  </si>
  <si>
    <t>シャンプーボトルの汚れ</t>
  </si>
  <si>
    <t>従業員を叱咤</t>
  </si>
  <si>
    <t>二酸化炭素泉(4)</t>
  </si>
  <si>
    <t>ゴミ箱</t>
  </si>
  <si>
    <t>含鉄(29)</t>
  </si>
  <si>
    <t>その他・1ヵ所につき</t>
  </si>
  <si>
    <t>酸性(14)※pH値で評価</t>
  </si>
  <si>
    <t>売店（番台のレンタルを除く）</t>
  </si>
  <si>
    <t>含よう素(4)</t>
  </si>
  <si>
    <t>清掃（浴室以外）</t>
  </si>
  <si>
    <t>軽食・飲食店</t>
  </si>
  <si>
    <t>硫黄(149)</t>
  </si>
  <si>
    <t>脱衣所の床</t>
  </si>
  <si>
    <r>
      <rPr>
        <sz val="11"/>
        <color rgb="FF000000"/>
        <rFont val="HG丸ｺﾞｼｯｸM-PRO"/>
        <family val="3"/>
        <charset val="128"/>
      </rPr>
      <t>酒、アイス</t>
    </r>
    <r>
      <rPr>
        <sz val="9"/>
        <color rgb="FF000000"/>
        <rFont val="HG丸ｺﾞｼｯｸM-PRO"/>
        <family val="3"/>
        <charset val="128"/>
      </rPr>
      <t>(ソフトクリーム)</t>
    </r>
    <r>
      <rPr>
        <sz val="11"/>
        <color rgb="FF000000"/>
        <rFont val="HG丸ｺﾞｼｯｸM-PRO"/>
        <family val="3"/>
        <charset val="128"/>
      </rPr>
      <t>、牛乳の販売</t>
    </r>
  </si>
  <si>
    <t>各1／最大3</t>
  </si>
  <si>
    <t>放射能泉(25)</t>
  </si>
  <si>
    <t>脱衣かごやロッカー</t>
  </si>
  <si>
    <t>洗面台</t>
  </si>
  <si>
    <t>休憩スペース</t>
  </si>
  <si>
    <t>強酸性</t>
  </si>
  <si>
    <t>ph2未満</t>
  </si>
  <si>
    <t>脱衣所のイスなど</t>
  </si>
  <si>
    <t>休憩スペース（ネット喫茶レベル）</t>
  </si>
  <si>
    <t>酸　性</t>
  </si>
  <si>
    <t>pH2.1～3.0</t>
  </si>
  <si>
    <t>休憩所の汚れ</t>
  </si>
  <si>
    <t>十分な駐車場</t>
  </si>
  <si>
    <t>弱酸性
pH3.1～5.9</t>
  </si>
  <si>
    <t>pH3.1～3.8</t>
  </si>
  <si>
    <t>早朝営業（7:00前）</t>
  </si>
  <si>
    <t>ph3.9～5.9</t>
  </si>
  <si>
    <t>夜間営業（22:00以降）</t>
  </si>
  <si>
    <t>中　性</t>
  </si>
  <si>
    <t>pH6～7.4</t>
  </si>
  <si>
    <t xml:space="preserve">※破損(ガラスの割れや照明の壊れ)など放置されている場合は-2点
※温泉成分による変色・腐食・サビなどの劣化は汚れとしての評価対象外
※露天風呂の場合、自然物や虫などは評価対象外
</t>
  </si>
  <si>
    <t>子供の遊び場（ゲームコーナー）</t>
  </si>
  <si>
    <t>弱アルカリ性
pH7.5～8.4</t>
  </si>
  <si>
    <t>pH7.5～7.9</t>
  </si>
  <si>
    <r>
      <rPr>
        <sz val="11"/>
        <color rgb="FF000000"/>
        <rFont val="HG丸ｺﾞｼｯｸM-PRO"/>
        <family val="3"/>
        <charset val="128"/>
      </rPr>
      <t>浴槽の種類</t>
    </r>
    <r>
      <rPr>
        <sz val="9"/>
        <color rgb="FF000000"/>
        <rFont val="HG丸ｺﾞｼｯｸM-PRO"/>
        <family val="3"/>
        <charset val="128"/>
      </rPr>
      <t>（水風呂、かけ湯、温度違いを除く）</t>
    </r>
  </si>
  <si>
    <t>各1／最大5</t>
  </si>
  <si>
    <t>ph8.0～8.4</t>
  </si>
  <si>
    <t>浴室の数（貸切・家族風呂は除く）</t>
  </si>
  <si>
    <t>アルカリ性</t>
  </si>
  <si>
    <t>pH8.5～9.9</t>
  </si>
  <si>
    <t>その他 特徴的な施設設備</t>
  </si>
  <si>
    <t>各3～10</t>
  </si>
  <si>
    <t>強アルカリ性</t>
  </si>
  <si>
    <t xml:space="preserve">pH10以上 </t>
  </si>
  <si>
    <t>50～99未満</t>
  </si>
  <si>
    <t>以後 100mg毎</t>
  </si>
  <si>
    <t>5mg～50mg</t>
  </si>
  <si>
    <t>50～200mg</t>
  </si>
  <si>
    <t>色</t>
  </si>
  <si>
    <t>濁り湯</t>
  </si>
  <si>
    <t>濃色</t>
  </si>
  <si>
    <t>特別色</t>
  </si>
  <si>
    <t>加水有り</t>
  </si>
  <si>
    <r>
      <rPr>
        <sz val="11"/>
        <color rgb="FF000000"/>
        <rFont val="HG丸ｺﾞｼｯｸM-PRO"/>
        <family val="3"/>
        <charset val="128"/>
      </rPr>
      <t xml:space="preserve">上記合計(最大10点)から
一律 </t>
    </r>
    <r>
      <rPr>
        <sz val="11"/>
        <color rgb="FFFF0000"/>
        <rFont val="HG丸ｺﾞｼｯｸM-PRO"/>
        <family val="3"/>
        <charset val="128"/>
      </rPr>
      <t>-2点</t>
    </r>
  </si>
  <si>
    <t>完全源泉掛け流し</t>
  </si>
  <si>
    <r>
      <rPr>
        <sz val="11"/>
        <color rgb="FF000000"/>
        <rFont val="HG丸ｺﾞｼｯｸM-PRO"/>
        <family val="3"/>
        <charset val="128"/>
      </rPr>
      <t xml:space="preserve">上記合計(最大10点)から
一律 </t>
    </r>
    <r>
      <rPr>
        <sz val="11"/>
        <color rgb="FFFF0000"/>
        <rFont val="HG丸ｺﾞｼｯｸM-PRO"/>
        <family val="3"/>
        <charset val="128"/>
      </rPr>
      <t>+6点</t>
    </r>
  </si>
  <si>
    <t>温泉の定義は以下のいずれかを満たす必要がある</t>
  </si>
  <si>
    <t>①温度（温泉源から採取されるときの温度とする）摂氏25℃以上</t>
  </si>
  <si>
    <t>一般名</t>
  </si>
  <si>
    <t>愛称</t>
  </si>
  <si>
    <t>説明</t>
  </si>
  <si>
    <t>泉質名(新)</t>
  </si>
  <si>
    <t>②物質（下記に掲げるもののうち、いずれか一つ）</t>
  </si>
  <si>
    <t>単純温泉</t>
  </si>
  <si>
    <t>「家族の湯」</t>
  </si>
  <si>
    <t>日本一多い泉質で、誰でも安心して入れる温泉が多い。
単純泉でもpH値やメタケイ酸が多く含まれているなど、単純温泉でも大きく特徴が異なる。</t>
  </si>
  <si>
    <t>単純温泉
アルカリ性単純温泉(ｐH8.5以上)</t>
  </si>
  <si>
    <t>物質名含有量</t>
  </si>
  <si>
    <t>（1キログラム中）</t>
  </si>
  <si>
    <t>溶存物質（ガス性のものを除く）</t>
  </si>
  <si>
    <t>総量1,000mg 以上</t>
  </si>
  <si>
    <t>塩化物泉</t>
  </si>
  <si>
    <t>「熱の湯」</t>
  </si>
  <si>
    <t>ナトリウム－塩化物泉
ナトリウム・マグネシウム－塩化物泉
ナトリウム・カルシウム－塩化物泉</t>
  </si>
  <si>
    <t>遊離炭酸（CO2)</t>
  </si>
  <si>
    <t>250mg 以上</t>
  </si>
  <si>
    <t>リチウムイオン（Li+）</t>
  </si>
  <si>
    <t>1mg 以上</t>
  </si>
  <si>
    <t>炭酸水素塩泉</t>
  </si>
  <si>
    <t>カルシウム（・マグネシウム）－炭酸水素塩泉
ナトリウム－炭酸水素塩泉</t>
  </si>
  <si>
    <t>ストロンチウムイオン（Sr++）</t>
  </si>
  <si>
    <t>10mg 以上</t>
  </si>
  <si>
    <t>バリウムイオン（Ba++）</t>
  </si>
  <si>
    <t>5mg 以上</t>
  </si>
  <si>
    <t>二酸化炭素泉</t>
  </si>
  <si>
    <t>単純二酸化炭素泉</t>
  </si>
  <si>
    <r>
      <rPr>
        <sz val="11"/>
        <color rgb="FF000000"/>
        <rFont val="HG丸ｺﾞｼｯｸM-PRO"/>
        <family val="3"/>
        <charset val="128"/>
      </rPr>
      <t>フェロイオン</t>
    </r>
    <r>
      <rPr>
        <sz val="9"/>
        <color rgb="FF000000"/>
        <rFont val="HG丸ｺﾞｼｯｸM-PRO"/>
        <family val="3"/>
        <charset val="128"/>
      </rPr>
      <t>(総鉄イオン)</t>
    </r>
    <r>
      <rPr>
        <sz val="11"/>
        <color rgb="FF000000"/>
        <rFont val="HG丸ｺﾞｼｯｸM-PRO"/>
        <family val="3"/>
        <charset val="128"/>
      </rPr>
      <t>（Fe++、Fe+++）</t>
    </r>
  </si>
  <si>
    <t>第1マンガンイオン（Mn++）</t>
  </si>
  <si>
    <t>硫酸塩泉</t>
  </si>
  <si>
    <t>「傷の湯」
「脳卒中の湯」</t>
  </si>
  <si>
    <t>硫酸塩泉
マグネシウム－硫酸塩泉
ナトリウム－硫酸塩泉
カルシウム－硫酸塩泉</t>
  </si>
  <si>
    <t>水素イオン（H+）</t>
  </si>
  <si>
    <t>臭素イオン(臭化物イオン)（Br−）</t>
  </si>
  <si>
    <t>よう素イオン(よう化物イオン)（I−）</t>
  </si>
  <si>
    <t>含鉄泉</t>
  </si>
  <si>
    <t>「婦人の湯」</t>
  </si>
  <si>
    <t>鉄泉
鉄（Ⅱ）－炭酸水素塩泉
鉄（Ⅱ）－硫酸塩泉</t>
  </si>
  <si>
    <t>ふっ素イオン(ふっ化物イオン)（F−）</t>
  </si>
  <si>
    <t>2mg 以上</t>
  </si>
  <si>
    <r>
      <rPr>
        <sz val="11"/>
        <color rgb="FF000000"/>
        <rFont val="HG丸ｺﾞｼｯｸM-PRO"/>
        <family val="3"/>
        <charset val="128"/>
      </rPr>
      <t>ヒドロひ酸イオン</t>
    </r>
    <r>
      <rPr>
        <sz val="8"/>
        <color rgb="FF000000"/>
        <rFont val="HG丸ｺﾞｼｯｸM-PRO"/>
        <family val="3"/>
        <charset val="128"/>
      </rPr>
      <t>(ひ酸水素イオン)</t>
    </r>
    <r>
      <rPr>
        <sz val="9"/>
        <color rgb="FF000000"/>
        <rFont val="HG丸ｺﾞｼｯｸM-PRO"/>
        <family val="3"/>
        <charset val="128"/>
      </rPr>
      <t>（HAsO4−−）</t>
    </r>
  </si>
  <si>
    <t>1.3mg 以上</t>
  </si>
  <si>
    <t>硫黄泉</t>
  </si>
  <si>
    <t>硫黄泉
硫黄泉（硫化水素型）</t>
  </si>
  <si>
    <t>メタ亜ひ酸（HAsO2）</t>
  </si>
  <si>
    <r>
      <rPr>
        <sz val="11"/>
        <color rgb="FF000000"/>
        <rFont val="HG丸ｺﾞｼｯｸM-PRO"/>
        <family val="3"/>
        <charset val="128"/>
      </rPr>
      <t>総硫黄（S）</t>
    </r>
    <r>
      <rPr>
        <sz val="8"/>
        <color rgb="FF000000"/>
        <rFont val="HG丸ｺﾞｼｯｸM-PRO"/>
        <family val="3"/>
        <charset val="128"/>
      </rPr>
      <t>〔HS−＋S2O3＋H2Sに対応するもの〕</t>
    </r>
  </si>
  <si>
    <t>酸性泉</t>
  </si>
  <si>
    <t>「皮膚病の湯」</t>
  </si>
  <si>
    <t>単純酸性泉</t>
  </si>
  <si>
    <t>メタホウ酸（HBO2）</t>
  </si>
  <si>
    <t>メタケイ酸（H2SiO3）</t>
  </si>
  <si>
    <t>50mg 以上</t>
  </si>
  <si>
    <t>放射能泉</t>
  </si>
  <si>
    <t>「痛風の湯」</t>
  </si>
  <si>
    <t>単純弱放射能泉／単純放射能泉
含弱放射能－○－○泉
含放射能－○－○泉</t>
  </si>
  <si>
    <r>
      <rPr>
        <sz val="11"/>
        <color rgb="FF000000"/>
        <rFont val="HG丸ｺﾞｼｯｸM-PRO"/>
        <family val="3"/>
        <charset val="128"/>
      </rPr>
      <t>重炭酸ソーダ</t>
    </r>
    <r>
      <rPr>
        <sz val="8"/>
        <color rgb="FF000000"/>
        <rFont val="HG丸ｺﾞｼｯｸM-PRO"/>
        <family val="3"/>
        <charset val="128"/>
      </rPr>
      <t>(炭酸水素ナトリウム)</t>
    </r>
    <r>
      <rPr>
        <sz val="9"/>
        <color rgb="FF000000"/>
        <rFont val="HG丸ｺﾞｼｯｸM-PRO"/>
        <family val="3"/>
        <charset val="128"/>
      </rPr>
      <t>（NaHCO3）</t>
    </r>
  </si>
  <si>
    <t>340mg 以上</t>
  </si>
  <si>
    <t>ラドン（Rn）</t>
  </si>
  <si>
    <t>74Bq 以上</t>
  </si>
  <si>
    <t>含よう素泉</t>
  </si>
  <si>
    <t>含よう素－ナトリウム－塩化物泉</t>
  </si>
  <si>
    <t>ラジウム塩（Raとして）</t>
  </si>
  <si>
    <t>1億分の1mg 以上</t>
  </si>
  <si>
    <r>
      <rPr>
        <sz val="11"/>
        <color rgb="FF000000"/>
        <rFont val="HG丸ｺﾞｼｯｸM-PRO"/>
        <family val="3"/>
        <charset val="128"/>
      </rPr>
      <t>摂氏25℃以上、または以下のいずれか1つ以上を満たした場合、
「</t>
    </r>
    <r>
      <rPr>
        <b/>
        <sz val="11"/>
        <color rgb="FF000000"/>
        <rFont val="HG丸ｺﾞｼｯｸM-PRO"/>
        <family val="3"/>
        <charset val="128"/>
      </rPr>
      <t>療養泉</t>
    </r>
    <r>
      <rPr>
        <sz val="11"/>
        <color rgb="FF000000"/>
        <rFont val="HG丸ｺﾞｼｯｸM-PRO"/>
        <family val="3"/>
        <charset val="128"/>
      </rPr>
      <t>」として認定される</t>
    </r>
  </si>
  <si>
    <t>泉質名</t>
  </si>
  <si>
    <t>特殊成分(表4)</t>
  </si>
  <si>
    <t>表示名</t>
  </si>
  <si>
    <t>陽イオン(副成分)</t>
  </si>
  <si>
    <t>陰イオン(主成分)</t>
  </si>
  <si>
    <t>物質名</t>
  </si>
  <si>
    <t>含有量(1kg中)</t>
  </si>
  <si>
    <t>① 水素イオン1mg以上(pH3 未満)</t>
  </si>
  <si>
    <t>酸性</t>
  </si>
  <si>
    <r>
      <rPr>
        <sz val="10"/>
        <color rgb="FF000000"/>
        <rFont val="HG丸ｺﾞｼｯｸM-PRO"/>
        <family val="3"/>
        <charset val="128"/>
      </rPr>
      <t>主に陽イオンから、ミリバル％(mval%)で</t>
    </r>
    <r>
      <rPr>
        <b/>
        <sz val="10"/>
        <color rgb="FF000000"/>
        <rFont val="HG丸ｺﾞｼｯｸM-PRO"/>
        <family val="3"/>
        <charset val="128"/>
      </rPr>
      <t>20％以上含むもの</t>
    </r>
    <r>
      <rPr>
        <sz val="10"/>
        <color rgb="FF000000"/>
        <rFont val="HG丸ｺﾞｼｯｸM-PRO"/>
        <family val="3"/>
        <charset val="128"/>
      </rPr>
      <t>を</t>
    </r>
    <r>
      <rPr>
        <b/>
        <sz val="10"/>
        <color rgb="FF000000"/>
        <rFont val="HG丸ｺﾞｼｯｸM-PRO"/>
        <family val="3"/>
        <charset val="128"/>
      </rPr>
      <t>高い順</t>
    </r>
    <r>
      <rPr>
        <sz val="10"/>
        <color rgb="FF000000"/>
        <rFont val="HG丸ｺﾞｼｯｸM-PRO"/>
        <family val="3"/>
        <charset val="128"/>
      </rPr>
      <t>から全て記載</t>
    </r>
  </si>
  <si>
    <t>主に陰イオンの中から、ミリバル％(mval%)で最大のものが主成分となり、以下から選ばれる。20％以上含むものを高い順から全て記載</t>
  </si>
  <si>
    <t>② 総硫黄(S) 2mg以上</t>
  </si>
  <si>
    <t>含硫黄</t>
  </si>
  <si>
    <t>遊離炭酸（CO2）</t>
  </si>
  <si>
    <t>1,000mg 以上</t>
  </si>
  <si>
    <t>③ 遊離二酸化炭素(CO2) 1000mg以上</t>
  </si>
  <si>
    <t>含二酸化炭素</t>
  </si>
  <si>
    <t>ナトリウム</t>
  </si>
  <si>
    <t>A：塩類泉：溶存物質1000mg以上</t>
  </si>
  <si>
    <t>20mg 以上</t>
  </si>
  <si>
    <t>④ ラドン(Rn) 111Bｑ以上</t>
  </si>
  <si>
    <t>含放射能</t>
  </si>
  <si>
    <t>カルシウム</t>
  </si>
  <si>
    <t>① 塩化物泉(塩化物イオンのmval％が1番高い)</t>
  </si>
  <si>
    <t>⑤ 総鉄イオン(Fe2+Fe3) 20mg以上</t>
  </si>
  <si>
    <t>含鉄</t>
  </si>
  <si>
    <t>マグネシウム</t>
  </si>
  <si>
    <t>② 炭酸水素塩泉(炭酸水素イオンmval％が1番高い)</t>
  </si>
  <si>
    <t>⑥ よう化物イオン(I-) 10mg以上</t>
  </si>
  <si>
    <t>含よう素</t>
  </si>
  <si>
    <t>③ 硫酸塩泉(硫酸イオンmval％が1番高い)</t>
  </si>
  <si>
    <t>①～⑥の保有量を複数満たす場合は①から⑥の順番で
「全て」記載する。例)含硫黄・鉄(Ⅱ)-ナトリウム-塩化物泉</t>
  </si>
  <si>
    <t>B： 単純泉：25℃以上で溶存物質1000mg以下</t>
  </si>
  <si>
    <t>111Bq 以上</t>
  </si>
  <si>
    <t>④ 単純泉　(表4の特殊成分がない場合は「単純温泉」)</t>
  </si>
  <si>
    <t>※温度のみで療養泉に認定される場合は「単純温泉」となる。</t>
  </si>
  <si>
    <t>「浸透圧」「液性」「泉温」の順で表示
例)等張性中性高温泉
※泉質の後に原則として表記</t>
  </si>
  <si>
    <t>C：特殊成分(表4)を含む療養泉</t>
  </si>
  <si>
    <t>※温泉の基準に当てはまるが、療養泉に満たない場合は「温泉法第二条の別表に規定する○○の項により温泉に適合する。ただし療養泉には該当しないので泉質名はない」と表示される</t>
  </si>
  <si>
    <t>C1：特殊成分(表4)を含み、溶存物質1000mg未満、25℃未満</t>
  </si>
  <si>
    <t>泉温</t>
  </si>
  <si>
    <t>液性</t>
  </si>
  <si>
    <t>※療養泉と認められない場合は「泉質名はつかない」が、冷鉱泉の場合は「○○冷鉱泉」と表示している場合がある</t>
  </si>
  <si>
    <t>冷鉱泉</t>
  </si>
  <si>
    <t>25℃未満</t>
  </si>
  <si>
    <t>単純●●冷鉱泉(含はつけない 例：単純鉄冷鉱泉)</t>
  </si>
  <si>
    <t>低温泉(温泉)</t>
  </si>
  <si>
    <t>25℃～34℃</t>
  </si>
  <si>
    <r>
      <rPr>
        <sz val="11"/>
        <color rgb="FF000000"/>
        <rFont val="HG丸ｺﾞｼｯｸM-PRO"/>
        <family val="3"/>
        <charset val="128"/>
      </rPr>
      <t>C2：特殊成分(表4)を含み、溶存物質1000mg未満、</t>
    </r>
    <r>
      <rPr>
        <b/>
        <sz val="11"/>
        <color rgb="FF000000"/>
        <rFont val="HG丸ｺﾞｼｯｸM-PRO"/>
        <family val="3"/>
        <charset val="128"/>
      </rPr>
      <t>25℃以上</t>
    </r>
  </si>
  <si>
    <t>美肌効果</t>
  </si>
  <si>
    <t>温泉(温泉)</t>
  </si>
  <si>
    <t>34℃～42℃</t>
  </si>
  <si>
    <t>消毒効果</t>
  </si>
  <si>
    <t>高温泉(温泉)</t>
  </si>
  <si>
    <t>42℃以上</t>
  </si>
  <si>
    <t>弱酸性</t>
  </si>
  <si>
    <t>pH3.1～5.9</t>
  </si>
  <si>
    <t>単純●●温泉(含はつけない 例：単純鉄温泉)</t>
  </si>
  <si>
    <t>炎症鎮静効果</t>
  </si>
  <si>
    <t>浸透圧</t>
  </si>
  <si>
    <t>温泉水1kg中の溶存物質量</t>
  </si>
  <si>
    <t>※溶存物質1000mg以上は必ず「塩類泉」に分類されるので、単純●●冷鉱泉、単純●●温泉以外の特殊成分のみの表記は存在しない。</t>
  </si>
  <si>
    <t>低張性</t>
  </si>
  <si>
    <t>8,000mg/kg未満</t>
  </si>
  <si>
    <t>弱アルカリ性</t>
  </si>
  <si>
    <t>pH7.5～8.4</t>
  </si>
  <si>
    <t>ナトリウムイオン：5500mg以上</t>
  </si>
  <si>
    <t>塩化物イオン：8500mg以上</t>
  </si>
  <si>
    <t>8,000mg～10,000mg</t>
  </si>
  <si>
    <r>
      <rPr>
        <sz val="11"/>
        <color rgb="FF000000"/>
        <rFont val="HG丸ｺﾞｼｯｸM-PRO"/>
        <family val="3"/>
        <charset val="128"/>
      </rPr>
      <t>上記2成分を満たしている場合は「ナトリウム塩化物</t>
    </r>
    <r>
      <rPr>
        <b/>
        <sz val="11"/>
        <color rgb="FF000000"/>
        <rFont val="HG丸ｺﾞｼｯｸM-PRO"/>
        <family val="3"/>
        <charset val="128"/>
      </rPr>
      <t>強塩</t>
    </r>
    <r>
      <rPr>
        <sz val="11"/>
        <color rgb="FF000000"/>
        <rFont val="HG丸ｺﾞｼｯｸM-PRO"/>
        <family val="3"/>
        <charset val="128"/>
      </rPr>
      <t>泉」と表記する。</t>
    </r>
  </si>
  <si>
    <t>高張性</t>
  </si>
  <si>
    <t>10,000mg/kg以上</t>
  </si>
  <si>
    <t>有</t>
  </si>
  <si>
    <t>硫黄③</t>
  </si>
  <si>
    <t>炭酸水素泉</t>
  </si>
  <si>
    <t>特殊成分―陽イオン(副成分)―陰イオン(主成分)</t>
  </si>
  <si>
    <t>陽イオン　成分</t>
  </si>
  <si>
    <t>陰イオン　成分</t>
  </si>
  <si>
    <t>「美肌の湯」</t>
  </si>
  <si>
    <t>「ラムネの湯」</t>
  </si>
  <si>
    <t>「生活習慣病の湯」</t>
  </si>
  <si>
    <t>―</t>
  </si>
  <si>
    <t>合計</t>
  </si>
  <si>
    <t>リン酸一水素イオン</t>
  </si>
  <si>
    <t>リン酸二水素イオン</t>
  </si>
  <si>
    <t>S</t>
  </si>
  <si>
    <t>ｍｇ/kg</t>
  </si>
  <si>
    <t>成分総計</t>
  </si>
  <si>
    <r>
      <t>溶存物質総量</t>
    </r>
    <r>
      <rPr>
        <b/>
        <sz val="10"/>
        <color theme="1"/>
        <rFont val="BIZ UDPゴシック"/>
        <family val="3"/>
        <charset val="128"/>
      </rPr>
      <t xml:space="preserve"> </t>
    </r>
    <r>
      <rPr>
        <sz val="10"/>
        <color theme="1"/>
        <rFont val="BIZ UDPゴシック"/>
        <family val="3"/>
        <charset val="128"/>
      </rPr>
      <t>(ガス性のものを除く)</t>
    </r>
  </si>
  <si>
    <t>M・E/ｋｇ</t>
  </si>
  <si>
    <r>
      <t>×10</t>
    </r>
    <r>
      <rPr>
        <vertAlign val="superscript"/>
        <sz val="11"/>
        <rFont val="BIZ UDPゴシック"/>
        <family val="3"/>
        <charset val="128"/>
      </rPr>
      <t>－10</t>
    </r>
    <r>
      <rPr>
        <sz val="11"/>
        <rFont val="BIZ UDPゴシック"/>
        <family val="3"/>
        <charset val="128"/>
      </rPr>
      <t>Ci</t>
    </r>
  </si>
  <si>
    <t>一般的</t>
  </si>
  <si>
    <t>泉質の珍しさ</t>
  </si>
  <si>
    <t>美容成分</t>
  </si>
  <si>
    <t>良い</t>
  </si>
  <si>
    <t>貴重</t>
  </si>
  <si>
    <t>静寂</t>
  </si>
  <si>
    <t>いまいち</t>
  </si>
  <si>
    <t>優秀</t>
  </si>
  <si>
    <t>充実度</t>
  </si>
  <si>
    <t>泉質の美容成分</t>
  </si>
  <si>
    <t>施設の雰囲気</t>
  </si>
  <si>
    <t>清潔度・従業員</t>
  </si>
  <si>
    <t>満足度</t>
  </si>
  <si>
    <t>入浴のみに
特化</t>
  </si>
  <si>
    <t>＜</t>
  </si>
  <si>
    <t>　</t>
  </si>
  <si>
    <t>A</t>
  </si>
  <si>
    <t>B</t>
  </si>
  <si>
    <t>C</t>
  </si>
  <si>
    <t>D</t>
  </si>
  <si>
    <t>小</t>
  </si>
  <si>
    <t>多</t>
  </si>
  <si>
    <t>超</t>
  </si>
  <si>
    <t>＞</t>
  </si>
  <si>
    <t>中間</t>
  </si>
  <si>
    <t>静か</t>
  </si>
  <si>
    <t>賑やか</t>
  </si>
  <si>
    <t>騒音</t>
  </si>
  <si>
    <t>最悪</t>
  </si>
  <si>
    <t>最高</t>
  </si>
  <si>
    <t>素晴らしい</t>
  </si>
  <si>
    <t>問題
あり</t>
  </si>
  <si>
    <t>1日中
満喫出来る</t>
  </si>
  <si>
    <t>おすすめ！</t>
  </si>
  <si>
    <t>豊富</t>
  </si>
  <si>
    <t>効能</t>
  </si>
  <si>
    <t>効能
あり</t>
  </si>
  <si>
    <r>
      <t>泉質やコスパ、充実度などを元に「日帰り施設」として、どのくらいのオススメ出来るかを評価。
あくまで</t>
    </r>
    <r>
      <rPr>
        <b/>
        <sz val="12"/>
        <color theme="1" tint="0.14996795556505021"/>
        <rFont val="BIZ UDPゴシック"/>
        <family val="3"/>
        <charset val="128"/>
      </rPr>
      <t>日帰り施設としての評価なので、ホテルとして宿泊した評価とは全く異なる</t>
    </r>
    <r>
      <rPr>
        <sz val="12"/>
        <color theme="1" tint="0.14996795556505021"/>
        <rFont val="BIZ UDPゴシック"/>
        <family val="3"/>
        <charset val="128"/>
      </rPr>
      <t>ので注意。
独自の基準で原則的に評価するが、独断と偏見も混じる為、個人のレビューとしてご参考ください。</t>
    </r>
  </si>
  <si>
    <t>主に浴室内、脱衣所の清潔度で定期的な清掃が行われているかを判断。泉質による汚れ・劣化は含めないが、
破損などが放置されている場合はマイナス。また、従業員に対応・問題点があった場合もマイナス。</t>
  </si>
  <si>
    <r>
      <rPr>
        <b/>
        <sz val="12"/>
        <color theme="1" tint="0.14996795556505021"/>
        <rFont val="BIZ UDPゴシック"/>
        <family val="3"/>
        <charset val="128"/>
      </rPr>
      <t>特徴的な泉質</t>
    </r>
    <r>
      <rPr>
        <sz val="12"/>
        <color theme="1" tint="0.14996795556505021"/>
        <rFont val="BIZ UDPゴシック"/>
        <family val="3"/>
        <charset val="128"/>
      </rPr>
      <t xml:space="preserve">を独自基準により評価。成分の他、完全源泉掛け流しや湯色なども評価対象。
</t>
    </r>
    <r>
      <rPr>
        <b/>
        <sz val="12"/>
        <color theme="1" tint="0.14996795556505021"/>
        <rFont val="BIZ UDPゴシック"/>
        <family val="3"/>
        <charset val="128"/>
      </rPr>
      <t>貴重＝特徴的な尖った成分</t>
    </r>
    <r>
      <rPr>
        <sz val="12"/>
        <color theme="1" tint="0.14996795556505021"/>
        <rFont val="BIZ UDPゴシック"/>
        <family val="3"/>
        <charset val="128"/>
      </rPr>
      <t>になることが多いので、</t>
    </r>
    <r>
      <rPr>
        <b/>
        <sz val="12"/>
        <color theme="1" tint="0.14996795556505021"/>
        <rFont val="BIZ UDPゴシック"/>
        <family val="3"/>
        <charset val="128"/>
      </rPr>
      <t>家族連れや年配者は一般的が向いている</t>
    </r>
    <r>
      <rPr>
        <sz val="12"/>
        <color theme="1" tint="0.14996795556505021"/>
        <rFont val="BIZ UDPゴシック"/>
        <family val="3"/>
        <charset val="128"/>
      </rPr>
      <t>。</t>
    </r>
  </si>
  <si>
    <r>
      <t>「美肌成分 （メタケイ酸や炭酸水素塩泉、アルカリ性など）」の性質・含有量で評価。</t>
    </r>
    <r>
      <rPr>
        <b/>
        <sz val="12"/>
        <color theme="1" tint="0.14996795556505021"/>
        <rFont val="BIZ UDPゴシック"/>
        <family val="3"/>
        <charset val="128"/>
      </rPr>
      <t>「効能あり」から効果を期待</t>
    </r>
    <r>
      <rPr>
        <sz val="12"/>
        <color theme="1" tint="0.14996795556505021"/>
        <rFont val="BIZ UDPゴシック"/>
        <family val="3"/>
        <charset val="128"/>
      </rPr>
      <t>できる。</t>
    </r>
  </si>
  <si>
    <t>少ない</t>
  </si>
  <si>
    <r>
      <t xml:space="preserve">施設の雰囲気を評価。「賑やか」は子ども連れや混雑傾向が多いが、家族・友人とワイワイと入浴しやすい。
「静寂」は客入りが多くなく、静かな空間を楽しめるが、子ども連れには向かない。 
</t>
    </r>
    <r>
      <rPr>
        <b/>
        <sz val="12"/>
        <color theme="1" tint="0.14996795556505021"/>
        <rFont val="BIZ UDPゴシック"/>
        <family val="3"/>
        <charset val="128"/>
      </rPr>
      <t>「騒音」は客層が悪い場合（子どもが泳いでいる、地元民が占領している等）にのみ適応しており、トラブルに注意。</t>
    </r>
  </si>
  <si>
    <t>自販機の種類や休憩所、売店、食堂などの施設の充実度。
駐車場の広さや受付時間、浴槽の種類や浴室の意匠などもこの項目で評価する。</t>
  </si>
  <si>
    <t>泉質チェック</t>
  </si>
  <si>
    <t>合算用</t>
  </si>
  <si>
    <t>100～199</t>
  </si>
  <si>
    <t>200以後100毎 +1</t>
  </si>
  <si>
    <t>10点以上</t>
  </si>
  <si>
    <t>8～9</t>
  </si>
  <si>
    <t>7～6</t>
  </si>
  <si>
    <t>5～4</t>
  </si>
  <si>
    <t>3以下</t>
  </si>
  <si>
    <t>計算用</t>
  </si>
  <si>
    <t>点数</t>
  </si>
  <si>
    <t>種類</t>
  </si>
  <si>
    <t>泉質の主成分</t>
  </si>
  <si>
    <t>特殊成分</t>
  </si>
  <si>
    <t>3～</t>
  </si>
  <si>
    <t>以後 50mg毎</t>
  </si>
  <si>
    <t>バイブラ・ジャグジー</t>
  </si>
  <si>
    <t>電気風呂</t>
  </si>
  <si>
    <t>寝湯</t>
  </si>
  <si>
    <t>打たせ湯</t>
  </si>
  <si>
    <t>加水</t>
  </si>
  <si>
    <t>硫黄</t>
  </si>
  <si>
    <r>
      <t>塩化物</t>
    </r>
    <r>
      <rPr>
        <b/>
        <sz val="11"/>
        <color rgb="FF000000"/>
        <rFont val="BIZ UDPゴシック"/>
        <family val="3"/>
        <charset val="128"/>
      </rPr>
      <t>強</t>
    </r>
    <r>
      <rPr>
        <sz val="11"/>
        <color rgb="FF000000"/>
        <rFont val="BIZ UDPゴシック"/>
        <family val="3"/>
        <charset val="128"/>
      </rPr>
      <t>塩泉</t>
    </r>
  </si>
  <si>
    <t>合計点（上限20点）</t>
  </si>
  <si>
    <r>
      <rPr>
        <sz val="10"/>
        <color theme="1"/>
        <rFont val="BIZ UDPゴシック"/>
        <family val="3"/>
        <charset val="128"/>
      </rPr>
      <t>温度が異なる浴槽</t>
    </r>
    <r>
      <rPr>
        <sz val="8"/>
        <color theme="1"/>
        <rFont val="BIZ UDPゴシック"/>
        <family val="3"/>
        <charset val="128"/>
      </rPr>
      <t>（複数でも最大1）</t>
    </r>
  </si>
  <si>
    <r>
      <t>露天風呂</t>
    </r>
    <r>
      <rPr>
        <sz val="9"/>
        <color theme="1"/>
        <rFont val="BIZ UDPゴシック"/>
        <family val="3"/>
        <charset val="128"/>
      </rPr>
      <t>（浴室数で計算）</t>
    </r>
  </si>
  <si>
    <r>
      <rPr>
        <sz val="10"/>
        <color theme="1"/>
        <rFont val="BIZ UDPゴシック"/>
        <family val="3"/>
        <charset val="128"/>
      </rPr>
      <t>異なる源泉</t>
    </r>
    <r>
      <rPr>
        <sz val="9"/>
        <color theme="1"/>
        <rFont val="BIZ UDPゴシック"/>
        <family val="3"/>
        <charset val="128"/>
      </rPr>
      <t>（本数分、2本目から加算）</t>
    </r>
  </si>
  <si>
    <r>
      <t xml:space="preserve">水風呂 </t>
    </r>
    <r>
      <rPr>
        <sz val="9"/>
        <color theme="1"/>
        <rFont val="BIZ UDPゴシック"/>
        <family val="3"/>
        <charset val="128"/>
      </rPr>
      <t>（天然温泉以外でも加点）</t>
    </r>
  </si>
  <si>
    <t>アルカリ質</t>
  </si>
  <si>
    <t>×1.0</t>
  </si>
  <si>
    <t>×2.0</t>
  </si>
  <si>
    <t>酒、アイス、牛乳類の販売</t>
  </si>
  <si>
    <t>軽食・食堂・飲食店</t>
  </si>
  <si>
    <t>美容成分　評価表</t>
  </si>
  <si>
    <t>施設充実度　評価表</t>
  </si>
  <si>
    <r>
      <t>売店</t>
    </r>
    <r>
      <rPr>
        <sz val="9"/>
        <color rgb="FF000000"/>
        <rFont val="BIZ UDPゴシック"/>
        <family val="3"/>
        <charset val="128"/>
      </rPr>
      <t>（番台、レンタルを除く）</t>
    </r>
  </si>
  <si>
    <r>
      <rPr>
        <sz val="9"/>
        <color rgb="FF000000"/>
        <rFont val="BIZ UDPゴシック"/>
        <family val="3"/>
        <charset val="128"/>
      </rPr>
      <t>　〃　</t>
    </r>
    <r>
      <rPr>
        <sz val="10"/>
        <color rgb="FF000000"/>
        <rFont val="BIZ UDPゴシック"/>
        <family val="3"/>
        <charset val="128"/>
      </rPr>
      <t>（ネット喫茶レベル）</t>
    </r>
  </si>
  <si>
    <t>合計点</t>
  </si>
  <si>
    <r>
      <t xml:space="preserve">フリードリンク </t>
    </r>
    <r>
      <rPr>
        <sz val="9"/>
        <color rgb="FF000000"/>
        <rFont val="BIZ UDPゴシック"/>
        <family val="3"/>
        <charset val="128"/>
      </rPr>
      <t>（水は除く）</t>
    </r>
  </si>
  <si>
    <t>～3</t>
  </si>
  <si>
    <t>～10</t>
  </si>
  <si>
    <r>
      <t xml:space="preserve">駐車場 </t>
    </r>
    <r>
      <rPr>
        <sz val="9"/>
        <color rgb="FF000000"/>
        <rFont val="BIZ UDPゴシック"/>
        <family val="3"/>
        <charset val="128"/>
      </rPr>
      <t>（場所・広さ・距離）</t>
    </r>
  </si>
  <si>
    <r>
      <t xml:space="preserve">遊び場 </t>
    </r>
    <r>
      <rPr>
        <sz val="10"/>
        <color rgb="FF000000"/>
        <rFont val="BIZ UDPゴシック"/>
        <family val="3"/>
        <charset val="128"/>
      </rPr>
      <t>（ゲームコーナー）</t>
    </r>
  </si>
  <si>
    <r>
      <t xml:space="preserve">早朝営業 </t>
    </r>
    <r>
      <rPr>
        <sz val="9"/>
        <color rgb="FF000000"/>
        <rFont val="BIZ UDPゴシック"/>
        <family val="3"/>
        <charset val="128"/>
      </rPr>
      <t>（8:00前）</t>
    </r>
  </si>
  <si>
    <r>
      <t xml:space="preserve">夜間営業 </t>
    </r>
    <r>
      <rPr>
        <sz val="9"/>
        <color rgb="FF000000"/>
        <rFont val="BIZ UDPゴシック"/>
        <family val="3"/>
        <charset val="128"/>
      </rPr>
      <t>（22:00以降）</t>
    </r>
  </si>
  <si>
    <r>
      <t xml:space="preserve">弱酸性
</t>
    </r>
    <r>
      <rPr>
        <sz val="8"/>
        <color rgb="FF000000"/>
        <rFont val="BIZ UDPゴシック"/>
        <family val="3"/>
        <charset val="128"/>
      </rPr>
      <t>pH3.1～5.9</t>
    </r>
  </si>
  <si>
    <r>
      <rPr>
        <sz val="10"/>
        <color rgb="FF000000"/>
        <rFont val="BIZ UDPゴシック"/>
        <family val="3"/>
        <charset val="128"/>
      </rPr>
      <t>弱アルカリ性</t>
    </r>
    <r>
      <rPr>
        <sz val="11"/>
        <color rgb="FF000000"/>
        <rFont val="BIZ UDPゴシック"/>
        <family val="3"/>
        <charset val="128"/>
      </rPr>
      <t xml:space="preserve">
</t>
    </r>
    <r>
      <rPr>
        <sz val="8"/>
        <color rgb="FF000000"/>
        <rFont val="BIZ UDPゴシック"/>
        <family val="3"/>
        <charset val="128"/>
      </rPr>
      <t>pH7.5～8.4</t>
    </r>
  </si>
  <si>
    <t>2未満</t>
  </si>
  <si>
    <t>2.1～3.0</t>
  </si>
  <si>
    <t>3.1～3.8</t>
  </si>
  <si>
    <t>3.9～5.9</t>
  </si>
  <si>
    <t>6～7.4</t>
  </si>
  <si>
    <t>7.5～7.9</t>
  </si>
  <si>
    <t>8.0～8.4</t>
  </si>
  <si>
    <t>8.5～9.9</t>
  </si>
  <si>
    <t xml:space="preserve">10以上 </t>
  </si>
  <si>
    <t>倍率</t>
  </si>
  <si>
    <r>
      <rPr>
        <b/>
        <sz val="10"/>
        <color theme="1"/>
        <rFont val="BIZ UDPゴシック"/>
        <family val="3"/>
        <charset val="128"/>
      </rPr>
      <t>S</t>
    </r>
    <r>
      <rPr>
        <sz val="10"/>
        <color theme="1"/>
        <rFont val="BIZ UDPゴシック"/>
        <family val="3"/>
        <charset val="128"/>
      </rPr>
      <t>：～20点　　</t>
    </r>
    <r>
      <rPr>
        <b/>
        <sz val="10"/>
        <color theme="1"/>
        <rFont val="BIZ UDPゴシック"/>
        <family val="3"/>
        <charset val="128"/>
      </rPr>
      <t>A</t>
    </r>
    <r>
      <rPr>
        <sz val="10"/>
        <color theme="1"/>
        <rFont val="BIZ UDPゴシック"/>
        <family val="3"/>
        <charset val="128"/>
      </rPr>
      <t>：19～16点　</t>
    </r>
  </si>
  <si>
    <r>
      <rPr>
        <b/>
        <sz val="10"/>
        <color theme="1"/>
        <rFont val="BIZ UDPゴシック"/>
        <family val="3"/>
        <charset val="128"/>
      </rPr>
      <t>B</t>
    </r>
    <r>
      <rPr>
        <sz val="10"/>
        <color theme="1"/>
        <rFont val="BIZ UDPゴシック"/>
        <family val="3"/>
        <charset val="128"/>
      </rPr>
      <t>：15～11点　　</t>
    </r>
    <r>
      <rPr>
        <b/>
        <sz val="10"/>
        <color theme="1"/>
        <rFont val="BIZ UDPゴシック"/>
        <family val="3"/>
        <charset val="128"/>
      </rPr>
      <t>C</t>
    </r>
    <r>
      <rPr>
        <sz val="10"/>
        <color theme="1"/>
        <rFont val="BIZ UDPゴシック"/>
        <family val="3"/>
        <charset val="128"/>
      </rPr>
      <t>：10～6点　　</t>
    </r>
    <r>
      <rPr>
        <b/>
        <sz val="10"/>
        <color theme="1"/>
        <rFont val="BIZ UDPゴシック"/>
        <family val="3"/>
        <charset val="128"/>
      </rPr>
      <t>D</t>
    </r>
    <r>
      <rPr>
        <sz val="10"/>
        <color theme="1"/>
        <rFont val="BIZ UDPゴシック"/>
        <family val="3"/>
        <charset val="128"/>
      </rPr>
      <t>：5点～</t>
    </r>
  </si>
  <si>
    <t>～15：超、～12大、～10有、～3小、2～無し</t>
  </si>
  <si>
    <t>総合評価 点数配分表</t>
  </si>
  <si>
    <r>
      <rPr>
        <b/>
        <sz val="10"/>
        <color theme="1"/>
        <rFont val="BIZ UDPゴシック"/>
        <family val="3"/>
        <charset val="128"/>
      </rPr>
      <t>S</t>
    </r>
    <r>
      <rPr>
        <sz val="10"/>
        <color theme="1"/>
        <rFont val="BIZ UDPゴシック"/>
        <family val="3"/>
        <charset val="128"/>
      </rPr>
      <t>：～20／</t>
    </r>
    <r>
      <rPr>
        <b/>
        <sz val="10"/>
        <color theme="1"/>
        <rFont val="BIZ UDPゴシック"/>
        <family val="3"/>
        <charset val="128"/>
      </rPr>
      <t>A</t>
    </r>
    <r>
      <rPr>
        <sz val="10"/>
        <color theme="1"/>
        <rFont val="BIZ UDPゴシック"/>
        <family val="3"/>
        <charset val="128"/>
      </rPr>
      <t>：19～16／</t>
    </r>
    <r>
      <rPr>
        <b/>
        <sz val="10"/>
        <color theme="1"/>
        <rFont val="BIZ UDPゴシック"/>
        <family val="3"/>
        <charset val="128"/>
      </rPr>
      <t>B</t>
    </r>
    <r>
      <rPr>
        <sz val="10"/>
        <color theme="1"/>
        <rFont val="BIZ UDPゴシック"/>
        <family val="3"/>
        <charset val="128"/>
      </rPr>
      <t>：15～11／</t>
    </r>
    <r>
      <rPr>
        <b/>
        <sz val="10"/>
        <color theme="1"/>
        <rFont val="BIZ UDPゴシック"/>
        <family val="3"/>
        <charset val="128"/>
      </rPr>
      <t>C</t>
    </r>
    <r>
      <rPr>
        <sz val="10"/>
        <color theme="1"/>
        <rFont val="BIZ UDPゴシック"/>
        <family val="3"/>
        <charset val="128"/>
      </rPr>
      <t>：10～9</t>
    </r>
  </si>
  <si>
    <t>よう素</t>
  </si>
  <si>
    <t>鉄</t>
  </si>
  <si>
    <t>総合評価</t>
  </si>
  <si>
    <t>雰囲気</t>
  </si>
  <si>
    <t>選択</t>
  </si>
  <si>
    <t>問題あり</t>
  </si>
  <si>
    <t>オート入力</t>
  </si>
  <si>
    <t>清潔度</t>
  </si>
  <si>
    <t>配点</t>
  </si>
  <si>
    <t>判定</t>
  </si>
  <si>
    <t>以後100毎 +1</t>
  </si>
  <si>
    <t>100～200</t>
  </si>
  <si>
    <t>51～100mg</t>
  </si>
  <si>
    <t>&lt;</t>
  </si>
  <si>
    <t>コスパなど加減</t>
  </si>
  <si>
    <t>酸性 ※pH値で評価</t>
  </si>
  <si>
    <t>鉄（Ⅱ）イオン</t>
  </si>
  <si>
    <t>鉄（Ⅲ）イオン</t>
  </si>
  <si>
    <t>メタ亜ヒ酸イオン</t>
  </si>
  <si>
    <t>メタホウ酸イオン</t>
  </si>
  <si>
    <t xml:space="preserve">溶存物質1,000mg以上で、塩化物イオンの含有量が一番多い泉質。最大値は20,000を超えるが中央値としては4,000ぐらい。塩化物イオンが8,500を超え、尚且つナトリウムイオンが5,500を超えた場合は『強塩泉』となる。
</t>
  </si>
  <si>
    <t>硫酸イオンは血液に多くの酸素を送り込む作用あり、神経痛、胆道疾患や便秘、糖尿病、痛風の改善に良いとされる。中央値は1,000前後。1,500以上は稀少。</t>
  </si>
  <si>
    <t>【特殊成分】わき出した時は透明。その後に鉄が酸化されて変色。鉄は人間の造血作用に欠かせない重要な成分で皮膚からもよく吸収される。見た目のインパクトが強く、有馬温泉の金湯、不老ふ死温泉など有名処が多い。20mg以上で「含鉄泉」となり、30以上は稀少。</t>
  </si>
  <si>
    <t>【特殊成分】地上に出てきた時は透明で酸化すると白濁する。硫化水素系だと鼻にツンとくる硫黄臭がし、最も温泉らしい温泉。効能は多いが、成分が強すぎることが多いので赤ちゃんや高齢者には向かない。「総硫黄2mg」以上が必要で、15くらいが中央値で、100に近い強烈な温泉も存在する。</t>
  </si>
  <si>
    <t>【特殊成分】皮膚にしみる刺激があり、抗菌力が高い為、アトピーの殺菌性に優れている。赤ちゃんや高齢者、乾燥肌の人には向かない。pH2.0を下回ると「強酸性」となり、目や傷に入ると激痛のため注意。日本で一番の酸性温泉は「玉川温泉の1.1」</t>
  </si>
  <si>
    <t>「炭酸水素＝重曹」で、陰イオンの主成分が炭酸水素イオン。「炭酸飲料の炭酸ではない」ので注意。重曹の働きで皮膚病に効果があり、入浴後はさっぱりとした清涼感がある。角質、毛穴の汚れを取るので女性に人気。1,000mgが中央値で、2,000以上は稀少。</t>
  </si>
  <si>
    <t>【特殊成分】「炭酸の湯」で日本では少ない。肌に細かな泡が付着し、毛細血管を拡張、血液循環の促進、血圧低下作用などに効果を持つ。高温だと炭酸が抜ける為、天然の二酸化炭酸泉はほぼ冷水で湧き出す。最近は人工炭酸風呂も多い。1,500くらいが中央値。</t>
  </si>
  <si>
    <t>【特殊成分】「ラジウム温泉」と呼ばれることもあり、湯の中から放出されるラドンは呼吸とともに体内に取り込まれ、尿酸を尿から出すので通風に効果がある。地中のラジウムを発する花崗岩を長い時間を掛けて通過することで放射能を含むようになる。特に東北は天然の放射能泉は非常に稀少。</t>
  </si>
  <si>
    <t>【特殊成分】2014年に追加され、温泉水1kg中に「よう化物イオン」を10mg以上含む泉質。ヨウ素の名の通り「うがい薬」の成分で茶褐色～黄色が特徴。ヨード独特の薬香がある。海水起源の源泉に含まれていることが多い為、火山由来の温泉地にはまず存在しない。まだ新しい為、全体値や中央値は不明だが、かなり少ない稀少泉質。</t>
  </si>
  <si>
    <t>※ミリバル値は小数点第2位四捨五入の為、実際に提示の表と異なる場合が有ります。</t>
  </si>
  <si>
    <r>
      <t>(Fe</t>
    </r>
    <r>
      <rPr>
        <vertAlign val="superscript"/>
        <sz val="12"/>
        <color theme="1"/>
        <rFont val="BIZ UDPゴシック"/>
        <family val="3"/>
        <charset val="128"/>
      </rPr>
      <t>2+</t>
    </r>
    <r>
      <rPr>
        <sz val="12"/>
        <color theme="1"/>
        <rFont val="BIZ UDPゴシック"/>
        <family val="3"/>
        <charset val="128"/>
      </rPr>
      <t>)</t>
    </r>
  </si>
  <si>
    <r>
      <t>(Li</t>
    </r>
    <r>
      <rPr>
        <vertAlign val="superscript"/>
        <sz val="12"/>
        <color theme="1"/>
        <rFont val="BIZ UDPゴシック"/>
        <family val="3"/>
        <charset val="128"/>
      </rPr>
      <t>+</t>
    </r>
    <r>
      <rPr>
        <sz val="12"/>
        <color theme="1"/>
        <rFont val="BIZ UDPゴシック"/>
        <family val="3"/>
        <charset val="128"/>
      </rPr>
      <t>)</t>
    </r>
  </si>
  <si>
    <r>
      <t>(Na</t>
    </r>
    <r>
      <rPr>
        <vertAlign val="superscript"/>
        <sz val="12"/>
        <rFont val="BIZ UDPゴシック"/>
        <family val="3"/>
        <charset val="128"/>
      </rPr>
      <t>+</t>
    </r>
    <r>
      <rPr>
        <sz val="12"/>
        <rFont val="BIZ UDPゴシック"/>
        <family val="3"/>
        <charset val="128"/>
      </rPr>
      <t>)</t>
    </r>
  </si>
  <si>
    <r>
      <t>(K</t>
    </r>
    <r>
      <rPr>
        <vertAlign val="superscript"/>
        <sz val="12"/>
        <color theme="1"/>
        <rFont val="BIZ UDPゴシック"/>
        <family val="3"/>
        <charset val="128"/>
      </rPr>
      <t>+</t>
    </r>
    <r>
      <rPr>
        <sz val="12"/>
        <color theme="1"/>
        <rFont val="BIZ UDPゴシック"/>
        <family val="3"/>
        <charset val="128"/>
      </rPr>
      <t>)</t>
    </r>
  </si>
  <si>
    <r>
      <t>(NH</t>
    </r>
    <r>
      <rPr>
        <vertAlign val="subscript"/>
        <sz val="12"/>
        <color theme="1"/>
        <rFont val="BIZ UDPゴシック"/>
        <family val="3"/>
        <charset val="128"/>
      </rPr>
      <t>4</t>
    </r>
    <r>
      <rPr>
        <vertAlign val="superscript"/>
        <sz val="12"/>
        <color theme="1"/>
        <rFont val="BIZ UDPゴシック"/>
        <family val="3"/>
        <charset val="128"/>
      </rPr>
      <t>+</t>
    </r>
    <r>
      <rPr>
        <sz val="12"/>
        <color theme="1"/>
        <rFont val="BIZ UDPゴシック"/>
        <family val="3"/>
        <charset val="128"/>
      </rPr>
      <t>)</t>
    </r>
  </si>
  <si>
    <r>
      <t>(Mg</t>
    </r>
    <r>
      <rPr>
        <vertAlign val="superscript"/>
        <sz val="12"/>
        <color theme="1"/>
        <rFont val="BIZ UDPゴシック"/>
        <family val="3"/>
        <charset val="128"/>
      </rPr>
      <t>2+</t>
    </r>
    <r>
      <rPr>
        <sz val="12"/>
        <color theme="1"/>
        <rFont val="BIZ UDPゴシック"/>
        <family val="3"/>
        <charset val="128"/>
      </rPr>
      <t>)</t>
    </r>
  </si>
  <si>
    <r>
      <t>(Ca</t>
    </r>
    <r>
      <rPr>
        <vertAlign val="superscript"/>
        <sz val="12"/>
        <color theme="1"/>
        <rFont val="BIZ UDPゴシック"/>
        <family val="3"/>
        <charset val="128"/>
      </rPr>
      <t>2+</t>
    </r>
    <r>
      <rPr>
        <sz val="12"/>
        <color theme="1"/>
        <rFont val="BIZ UDPゴシック"/>
        <family val="3"/>
        <charset val="128"/>
      </rPr>
      <t>)</t>
    </r>
  </si>
  <si>
    <r>
      <t>(Sr</t>
    </r>
    <r>
      <rPr>
        <vertAlign val="superscript"/>
        <sz val="12"/>
        <color theme="1"/>
        <rFont val="BIZ UDPゴシック"/>
        <family val="3"/>
        <charset val="128"/>
      </rPr>
      <t>2+</t>
    </r>
    <r>
      <rPr>
        <sz val="12"/>
        <color theme="1"/>
        <rFont val="BIZ UDPゴシック"/>
        <family val="3"/>
        <charset val="128"/>
      </rPr>
      <t>)</t>
    </r>
  </si>
  <si>
    <r>
      <t>(Al</t>
    </r>
    <r>
      <rPr>
        <vertAlign val="superscript"/>
        <sz val="12"/>
        <color theme="1"/>
        <rFont val="BIZ UDPゴシック"/>
        <family val="3"/>
        <charset val="128"/>
      </rPr>
      <t>3+</t>
    </r>
    <r>
      <rPr>
        <sz val="12"/>
        <color theme="1"/>
        <rFont val="BIZ UDPゴシック"/>
        <family val="3"/>
        <charset val="128"/>
      </rPr>
      <t>)</t>
    </r>
  </si>
  <si>
    <r>
      <t>(Ba</t>
    </r>
    <r>
      <rPr>
        <vertAlign val="superscript"/>
        <sz val="12"/>
        <color theme="1"/>
        <rFont val="BIZ UDPゴシック"/>
        <family val="3"/>
        <charset val="128"/>
      </rPr>
      <t>2+</t>
    </r>
    <r>
      <rPr>
        <sz val="12"/>
        <color theme="1"/>
        <rFont val="BIZ UDPゴシック"/>
        <family val="3"/>
        <charset val="128"/>
      </rPr>
      <t>)</t>
    </r>
  </si>
  <si>
    <r>
      <t>(Mn</t>
    </r>
    <r>
      <rPr>
        <vertAlign val="superscript"/>
        <sz val="12"/>
        <color theme="1"/>
        <rFont val="BIZ UDPゴシック"/>
        <family val="3"/>
        <charset val="128"/>
      </rPr>
      <t>2+</t>
    </r>
    <r>
      <rPr>
        <sz val="12"/>
        <color theme="1"/>
        <rFont val="BIZ UDPゴシック"/>
        <family val="3"/>
        <charset val="128"/>
      </rPr>
      <t>)</t>
    </r>
  </si>
  <si>
    <r>
      <t>(Cu</t>
    </r>
    <r>
      <rPr>
        <vertAlign val="superscript"/>
        <sz val="12"/>
        <color theme="1"/>
        <rFont val="BIZ UDPゴシック"/>
        <family val="3"/>
        <charset val="128"/>
      </rPr>
      <t>2+</t>
    </r>
    <r>
      <rPr>
        <sz val="12"/>
        <color theme="1"/>
        <rFont val="BIZ UDPゴシック"/>
        <family val="3"/>
        <charset val="128"/>
      </rPr>
      <t>)</t>
    </r>
  </si>
  <si>
    <r>
      <t>(Zn</t>
    </r>
    <r>
      <rPr>
        <vertAlign val="superscript"/>
        <sz val="12"/>
        <color theme="1"/>
        <rFont val="BIZ UDPゴシック"/>
        <family val="3"/>
        <charset val="128"/>
      </rPr>
      <t>2＋</t>
    </r>
    <r>
      <rPr>
        <sz val="12"/>
        <color theme="1"/>
        <rFont val="BIZ UDPゴシック"/>
        <family val="3"/>
        <charset val="128"/>
      </rPr>
      <t>)</t>
    </r>
  </si>
  <si>
    <r>
      <t>(BO</t>
    </r>
    <r>
      <rPr>
        <vertAlign val="subscript"/>
        <sz val="12"/>
        <color theme="1"/>
        <rFont val="BIZ UDPゴシック"/>
        <family val="3"/>
        <charset val="128"/>
      </rPr>
      <t>2</t>
    </r>
    <r>
      <rPr>
        <vertAlign val="superscript"/>
        <sz val="12"/>
        <color theme="1"/>
        <rFont val="BIZ UDPゴシック"/>
        <family val="3"/>
        <charset val="128"/>
      </rPr>
      <t>-</t>
    </r>
    <r>
      <rPr>
        <sz val="12"/>
        <color theme="1"/>
        <rFont val="BIZ UDPゴシック"/>
        <family val="3"/>
        <charset val="128"/>
      </rPr>
      <t>)</t>
    </r>
  </si>
  <si>
    <r>
      <t>(F</t>
    </r>
    <r>
      <rPr>
        <vertAlign val="superscript"/>
        <sz val="12"/>
        <color theme="1"/>
        <rFont val="BIZ UDPゴシック"/>
        <family val="3"/>
        <charset val="128"/>
      </rPr>
      <t>-</t>
    </r>
    <r>
      <rPr>
        <sz val="12"/>
        <color theme="1"/>
        <rFont val="BIZ UDPゴシック"/>
        <family val="3"/>
        <charset val="128"/>
      </rPr>
      <t>)</t>
    </r>
  </si>
  <si>
    <r>
      <t>(Cl</t>
    </r>
    <r>
      <rPr>
        <vertAlign val="superscript"/>
        <sz val="12"/>
        <rFont val="BIZ UDPゴシック"/>
        <family val="3"/>
        <charset val="128"/>
      </rPr>
      <t>-</t>
    </r>
    <r>
      <rPr>
        <sz val="12"/>
        <rFont val="BIZ UDPゴシック"/>
        <family val="3"/>
        <charset val="128"/>
      </rPr>
      <t>)</t>
    </r>
  </si>
  <si>
    <r>
      <t>(Br</t>
    </r>
    <r>
      <rPr>
        <vertAlign val="superscript"/>
        <sz val="12"/>
        <color theme="1"/>
        <rFont val="BIZ UDPゴシック"/>
        <family val="3"/>
        <charset val="128"/>
      </rPr>
      <t>-</t>
    </r>
    <r>
      <rPr>
        <sz val="12"/>
        <color theme="1"/>
        <rFont val="BIZ UDPゴシック"/>
        <family val="3"/>
        <charset val="128"/>
      </rPr>
      <t>)</t>
    </r>
  </si>
  <si>
    <r>
      <t>(OH</t>
    </r>
    <r>
      <rPr>
        <vertAlign val="superscript"/>
        <sz val="12"/>
        <color theme="1"/>
        <rFont val="BIZ UDPゴシック"/>
        <family val="3"/>
        <charset val="128"/>
      </rPr>
      <t>-</t>
    </r>
    <r>
      <rPr>
        <sz val="12"/>
        <color theme="1"/>
        <rFont val="BIZ UDPゴシック"/>
        <family val="3"/>
        <charset val="128"/>
      </rPr>
      <t>)</t>
    </r>
  </si>
  <si>
    <r>
      <t>(HSO</t>
    </r>
    <r>
      <rPr>
        <vertAlign val="subscript"/>
        <sz val="12"/>
        <color theme="1"/>
        <rFont val="BIZ UDPゴシック"/>
        <family val="3"/>
        <charset val="128"/>
      </rPr>
      <t>4</t>
    </r>
    <r>
      <rPr>
        <vertAlign val="superscript"/>
        <sz val="12"/>
        <color theme="1"/>
        <rFont val="BIZ UDPゴシック"/>
        <family val="3"/>
        <charset val="128"/>
      </rPr>
      <t>-</t>
    </r>
    <r>
      <rPr>
        <sz val="12"/>
        <color theme="1"/>
        <rFont val="BIZ UDPゴシック"/>
        <family val="3"/>
        <charset val="128"/>
      </rPr>
      <t>)</t>
    </r>
  </si>
  <si>
    <r>
      <t>(SO</t>
    </r>
    <r>
      <rPr>
        <vertAlign val="subscript"/>
        <sz val="12"/>
        <color theme="1"/>
        <rFont val="BIZ UDPゴシック"/>
        <family val="3"/>
        <charset val="128"/>
      </rPr>
      <t>4</t>
    </r>
    <r>
      <rPr>
        <vertAlign val="superscript"/>
        <sz val="12"/>
        <color theme="1"/>
        <rFont val="BIZ UDPゴシック"/>
        <family val="3"/>
        <charset val="128"/>
      </rPr>
      <t>2-</t>
    </r>
    <r>
      <rPr>
        <sz val="12"/>
        <color theme="1"/>
        <rFont val="BIZ UDPゴシック"/>
        <family val="3"/>
        <charset val="128"/>
      </rPr>
      <t>)</t>
    </r>
  </si>
  <si>
    <r>
      <t>(NO</t>
    </r>
    <r>
      <rPr>
        <vertAlign val="subscript"/>
        <sz val="12"/>
        <color theme="1"/>
        <rFont val="BIZ UDPゴシック"/>
        <family val="3"/>
        <charset val="128"/>
      </rPr>
      <t>3</t>
    </r>
    <r>
      <rPr>
        <vertAlign val="superscript"/>
        <sz val="12"/>
        <color theme="1"/>
        <rFont val="BIZ UDPゴシック"/>
        <family val="3"/>
        <charset val="128"/>
      </rPr>
      <t>-</t>
    </r>
    <r>
      <rPr>
        <sz val="12"/>
        <color theme="1"/>
        <rFont val="BIZ UDPゴシック"/>
        <family val="3"/>
        <charset val="128"/>
      </rPr>
      <t>)</t>
    </r>
  </si>
  <si>
    <r>
      <t>(A</t>
    </r>
    <r>
      <rPr>
        <vertAlign val="subscript"/>
        <sz val="12"/>
        <color theme="1"/>
        <rFont val="BIZ UDPゴシック"/>
        <family val="3"/>
        <charset val="128"/>
      </rPr>
      <t>S</t>
    </r>
    <r>
      <rPr>
        <sz val="12"/>
        <color theme="1"/>
        <rFont val="BIZ UDPゴシック"/>
        <family val="3"/>
        <charset val="128"/>
      </rPr>
      <t>O</t>
    </r>
    <r>
      <rPr>
        <vertAlign val="subscript"/>
        <sz val="12"/>
        <color theme="1"/>
        <rFont val="BIZ UDPゴシック"/>
        <family val="3"/>
        <charset val="128"/>
      </rPr>
      <t>2</t>
    </r>
    <r>
      <rPr>
        <vertAlign val="superscript"/>
        <sz val="12"/>
        <color theme="1"/>
        <rFont val="BIZ UDPゴシック"/>
        <family val="3"/>
        <charset val="128"/>
      </rPr>
      <t>-</t>
    </r>
    <r>
      <rPr>
        <sz val="12"/>
        <color theme="1"/>
        <rFont val="BIZ UDPゴシック"/>
        <family val="3"/>
        <charset val="128"/>
      </rPr>
      <t>)</t>
    </r>
  </si>
  <si>
    <r>
      <t>(HCO</t>
    </r>
    <r>
      <rPr>
        <vertAlign val="subscript"/>
        <sz val="12"/>
        <color theme="1"/>
        <rFont val="BIZ UDPゴシック"/>
        <family val="3"/>
        <charset val="128"/>
      </rPr>
      <t>3</t>
    </r>
    <r>
      <rPr>
        <vertAlign val="superscript"/>
        <sz val="12"/>
        <color theme="1"/>
        <rFont val="BIZ UDPゴシック"/>
        <family val="3"/>
        <charset val="128"/>
      </rPr>
      <t>-</t>
    </r>
    <r>
      <rPr>
        <sz val="12"/>
        <color theme="1"/>
        <rFont val="BIZ UDPゴシック"/>
        <family val="3"/>
        <charset val="128"/>
      </rPr>
      <t>)</t>
    </r>
  </si>
  <si>
    <r>
      <t>(CO</t>
    </r>
    <r>
      <rPr>
        <vertAlign val="subscript"/>
        <sz val="12"/>
        <color theme="1"/>
        <rFont val="BIZ UDPゴシック"/>
        <family val="3"/>
        <charset val="128"/>
      </rPr>
      <t>3</t>
    </r>
    <r>
      <rPr>
        <vertAlign val="superscript"/>
        <sz val="12"/>
        <color theme="1"/>
        <rFont val="BIZ UDPゴシック"/>
        <family val="3"/>
        <charset val="128"/>
      </rPr>
      <t>2-</t>
    </r>
    <r>
      <rPr>
        <sz val="12"/>
        <color theme="1"/>
        <rFont val="BIZ UDPゴシック"/>
        <family val="3"/>
        <charset val="128"/>
      </rPr>
      <t>)</t>
    </r>
  </si>
  <si>
    <t>電気伝導率(25℃)</t>
    <rPh sb="0" eb="2">
      <t>デンキ</t>
    </rPh>
    <rPh sb="2" eb="5">
      <t>デンドウリツ</t>
    </rPh>
    <phoneticPr fontId="100"/>
  </si>
  <si>
    <t>密度(20℃／4℃)</t>
    <rPh sb="0" eb="2">
      <t>ミツド</t>
    </rPh>
    <phoneticPr fontId="100"/>
  </si>
  <si>
    <t>(ｍｇ／ｋｇ)</t>
    <phoneticPr fontId="100"/>
  </si>
  <si>
    <t>総ひ素</t>
    <rPh sb="0" eb="1">
      <t>ソウ</t>
    </rPh>
    <rPh sb="2" eb="3">
      <t>ソ</t>
    </rPh>
    <phoneticPr fontId="100"/>
  </si>
  <si>
    <t>総水銀</t>
    <rPh sb="0" eb="3">
      <t>ソウスイギン</t>
    </rPh>
    <phoneticPr fontId="100"/>
  </si>
  <si>
    <t>カドミウム</t>
    <phoneticPr fontId="100"/>
  </si>
  <si>
    <t>遊離成分</t>
    <rPh sb="0" eb="2">
      <t>ユウリ</t>
    </rPh>
    <rPh sb="2" eb="4">
      <t>セイブン</t>
    </rPh>
    <phoneticPr fontId="100"/>
  </si>
  <si>
    <t>露天風呂</t>
    <rPh sb="0" eb="2">
      <t>ロテン</t>
    </rPh>
    <rPh sb="2" eb="4">
      <t>ブロ</t>
    </rPh>
    <phoneticPr fontId="100"/>
  </si>
  <si>
    <t>メタけい酸水素イオン</t>
    <phoneticPr fontId="100"/>
  </si>
  <si>
    <t>℃</t>
    <phoneticPr fontId="100"/>
  </si>
  <si>
    <t>ラドン（Rn）</t>
    <phoneticPr fontId="100"/>
  </si>
  <si>
    <t>　</t>
    <phoneticPr fontId="100"/>
  </si>
  <si>
    <t>(S)</t>
    <phoneticPr fontId="100"/>
  </si>
  <si>
    <t>なし</t>
    <phoneticPr fontId="100"/>
  </si>
  <si>
    <t>成分に影響を与える項目</t>
    <rPh sb="0" eb="2">
      <t>セイブン</t>
    </rPh>
    <rPh sb="3" eb="5">
      <t>エイキョウ</t>
    </rPh>
    <rPh sb="6" eb="7">
      <t>アタ</t>
    </rPh>
    <rPh sb="9" eb="11">
      <t>コウモク</t>
    </rPh>
    <phoneticPr fontId="100"/>
  </si>
  <si>
    <t>&lt;0.01</t>
    <phoneticPr fontId="100"/>
  </si>
  <si>
    <t>&lt;0.0005</t>
    <phoneticPr fontId="100"/>
  </si>
  <si>
    <t>mg→kg</t>
    <phoneticPr fontId="100"/>
  </si>
  <si>
    <t>チオ硫酸イオン</t>
    <rPh sb="2" eb="4">
      <t>リュウサン</t>
    </rPh>
    <phoneticPr fontId="100"/>
  </si>
  <si>
    <t xml:space="preserve">モル1kg </t>
    <phoneticPr fontId="100"/>
  </si>
  <si>
    <t>硫化水素イオン</t>
    <rPh sb="0" eb="2">
      <t>リュウカ</t>
    </rPh>
    <rPh sb="2" eb="4">
      <t>スイソ</t>
    </rPh>
    <phoneticPr fontId="100"/>
  </si>
  <si>
    <t>遊離硫化水素</t>
    <rPh sb="0" eb="2">
      <t>ユウリ</t>
    </rPh>
    <rPh sb="2" eb="4">
      <t>リュウカ</t>
    </rPh>
    <rPh sb="4" eb="6">
      <t>スイソ</t>
    </rPh>
    <phoneticPr fontId="100"/>
  </si>
  <si>
    <t>mol単位</t>
    <rPh sb="0" eb="5">
      <t>MOLタンイ</t>
    </rPh>
    <phoneticPr fontId="100"/>
  </si>
  <si>
    <t>比較</t>
    <rPh sb="0" eb="2">
      <t>ヒカク</t>
    </rPh>
    <phoneticPr fontId="100"/>
  </si>
  <si>
    <t>成分名</t>
    <rPh sb="0" eb="2">
      <t>セイブン</t>
    </rPh>
    <rPh sb="2" eb="3">
      <t>メイ</t>
    </rPh>
    <phoneticPr fontId="100"/>
  </si>
  <si>
    <t>単純温泉</t>
    <rPh sb="0" eb="2">
      <t>タンジュン</t>
    </rPh>
    <rPh sb="2" eb="4">
      <t>オンセン</t>
    </rPh>
    <phoneticPr fontId="100"/>
  </si>
  <si>
    <t>循 環 ろ 過</t>
    <rPh sb="0" eb="1">
      <t>ジュン</t>
    </rPh>
    <rPh sb="2" eb="3">
      <t>ワ</t>
    </rPh>
    <rPh sb="6" eb="7">
      <t>カ</t>
    </rPh>
    <phoneticPr fontId="100"/>
  </si>
  <si>
    <t>mmol</t>
    <phoneticPr fontId="100"/>
  </si>
  <si>
    <t>Ca+Mg (mmol)</t>
  </si>
  <si>
    <t>Ah (mmol)</t>
  </si>
  <si>
    <t>Ae</t>
  </si>
  <si>
    <t>Ke</t>
  </si>
  <si>
    <t>ヌルヌル判定</t>
  </si>
  <si>
    <t xml:space="preserve">        </t>
    <phoneticPr fontId="100"/>
  </si>
  <si>
    <t>肌触り</t>
    <rPh sb="0" eb="2">
      <t>ハダザワ</t>
    </rPh>
    <phoneticPr fontId="100"/>
  </si>
  <si>
    <t>(Li+)</t>
  </si>
  <si>
    <t>(Na+)</t>
  </si>
  <si>
    <t>(K+)</t>
  </si>
  <si>
    <t>(OH-)</t>
  </si>
  <si>
    <t>(Mg2+)</t>
  </si>
  <si>
    <t>(Ca2+)</t>
  </si>
  <si>
    <t>(HS-)</t>
  </si>
  <si>
    <t>(CO32-)</t>
  </si>
  <si>
    <t>(BO2-)</t>
  </si>
  <si>
    <r>
      <t>(HPO</t>
    </r>
    <r>
      <rPr>
        <vertAlign val="subscript"/>
        <sz val="10"/>
        <color theme="1"/>
        <rFont val="BIZ UDPゴシック"/>
        <family val="3"/>
        <charset val="128"/>
      </rPr>
      <t>4</t>
    </r>
    <r>
      <rPr>
        <vertAlign val="superscript"/>
        <sz val="10"/>
        <color theme="1"/>
        <rFont val="BIZ UDPゴシック"/>
        <family val="3"/>
        <charset val="128"/>
      </rPr>
      <t>2−</t>
    </r>
    <r>
      <rPr>
        <sz val="10"/>
        <color theme="1"/>
        <rFont val="BIZ UDPゴシック"/>
        <family val="3"/>
        <charset val="128"/>
      </rPr>
      <t>)</t>
    </r>
  </si>
  <si>
    <r>
      <t>(H</t>
    </r>
    <r>
      <rPr>
        <vertAlign val="subscript"/>
        <sz val="10"/>
        <color theme="1"/>
        <rFont val="BIZ UDPゴシック"/>
        <family val="3"/>
        <charset val="128"/>
      </rPr>
      <t>2</t>
    </r>
    <r>
      <rPr>
        <sz val="10"/>
        <color theme="1"/>
        <rFont val="BIZ UDPゴシック"/>
        <family val="3"/>
        <charset val="128"/>
      </rPr>
      <t>PO</t>
    </r>
    <r>
      <rPr>
        <vertAlign val="subscript"/>
        <sz val="10"/>
        <color theme="1"/>
        <rFont val="BIZ UDPゴシック"/>
        <family val="3"/>
        <charset val="128"/>
      </rPr>
      <t>4</t>
    </r>
    <r>
      <rPr>
        <vertAlign val="superscript"/>
        <sz val="10"/>
        <color theme="1"/>
        <rFont val="BIZ UDPゴシック"/>
        <family val="3"/>
        <charset val="128"/>
      </rPr>
      <t>−</t>
    </r>
    <r>
      <rPr>
        <sz val="10"/>
        <color theme="1"/>
        <rFont val="BIZ UDPゴシック"/>
        <family val="3"/>
        <charset val="128"/>
      </rPr>
      <t>)</t>
    </r>
    <phoneticPr fontId="100"/>
  </si>
  <si>
    <r>
      <t>(HSiO</t>
    </r>
    <r>
      <rPr>
        <vertAlign val="subscript"/>
        <sz val="11"/>
        <color theme="1"/>
        <rFont val="BIZ UDPゴシック"/>
        <family val="3"/>
        <charset val="128"/>
      </rPr>
      <t>3</t>
    </r>
    <r>
      <rPr>
        <vertAlign val="superscript"/>
        <sz val="11"/>
        <color theme="1"/>
        <rFont val="BIZ UDPゴシック"/>
        <family val="3"/>
        <charset val="128"/>
      </rPr>
      <t>-</t>
    </r>
    <r>
      <rPr>
        <sz val="11"/>
        <color theme="1"/>
        <rFont val="BIZ UDPゴシック"/>
        <family val="3"/>
        <charset val="128"/>
      </rPr>
      <t>)</t>
    </r>
  </si>
  <si>
    <t>泉 質</t>
    <phoneticPr fontId="100"/>
  </si>
  <si>
    <t>一般的
適応症</t>
    <rPh sb="0" eb="3">
      <t>イッパンテキ</t>
    </rPh>
    <rPh sb="4" eb="7">
      <t>テキオウショウ</t>
    </rPh>
    <phoneticPr fontId="100"/>
  </si>
  <si>
    <t>成分数値で判別するヌルヌル感</t>
    <rPh sb="0" eb="2">
      <t>セイブン</t>
    </rPh>
    <rPh sb="2" eb="4">
      <t>スウチ</t>
    </rPh>
    <rPh sb="5" eb="7">
      <t>ハンベツ</t>
    </rPh>
    <rPh sb="13" eb="14">
      <t>カン</t>
    </rPh>
    <phoneticPr fontId="100"/>
  </si>
  <si>
    <t>ランキング数値化</t>
    <rPh sb="5" eb="8">
      <t>スウチカ</t>
    </rPh>
    <phoneticPr fontId="100"/>
  </si>
  <si>
    <t>Ae_c</t>
    <phoneticPr fontId="100"/>
  </si>
  <si>
    <t>(H+)</t>
  </si>
  <si>
    <t>泉 質 別 適 応 症</t>
    <phoneticPr fontId="100"/>
  </si>
  <si>
    <t xml:space="preserve">pH値 </t>
    <phoneticPr fontId="100"/>
  </si>
  <si>
    <t>分析日</t>
    <rPh sb="0" eb="2">
      <t>ブンセキ</t>
    </rPh>
    <rPh sb="2" eb="3">
      <t>ビ</t>
    </rPh>
    <phoneticPr fontId="100"/>
  </si>
  <si>
    <t>源 泉 温 度</t>
    <rPh sb="0" eb="1">
      <t>ミナモト</t>
    </rPh>
    <rPh sb="2" eb="3">
      <t>セン</t>
    </rPh>
    <rPh sb="4" eb="5">
      <t>オン</t>
    </rPh>
    <rPh sb="6" eb="7">
      <t>ド</t>
    </rPh>
    <phoneticPr fontId="100"/>
  </si>
  <si>
    <t>なし　
(但し、甲状腺機能亢進症・低下症、
妊婦は悪影響を受ける可能性有)</t>
    <rPh sb="5" eb="6">
      <t>タダ</t>
    </rPh>
    <rPh sb="22" eb="24">
      <t>ニンプ</t>
    </rPh>
    <rPh sb="25" eb="28">
      <t>アクエイキョウ</t>
    </rPh>
    <rPh sb="29" eb="30">
      <t>ウ</t>
    </rPh>
    <rPh sb="32" eb="35">
      <t>カノウセイ</t>
    </rPh>
    <rPh sb="35" eb="36">
      <t>ア</t>
    </rPh>
    <phoneticPr fontId="100"/>
  </si>
  <si>
    <t>―</t>
    <phoneticPr fontId="100"/>
  </si>
  <si>
    <t>きりきず、末梢循環障害、冷え性、うつ状態、皮膚乾燥症</t>
    <phoneticPr fontId="100"/>
  </si>
  <si>
    <t>自律神経不安定症、不眠症、うつ状態</t>
    <rPh sb="0" eb="8">
      <t>ジリツシンケイフアンテイショウ</t>
    </rPh>
    <rPh sb="9" eb="12">
      <t>フミンショウ</t>
    </rPh>
    <rPh sb="15" eb="17">
      <t>ジョウタイ</t>
    </rPh>
    <phoneticPr fontId="100"/>
  </si>
  <si>
    <t>塩化物
硫酸塩</t>
    <rPh sb="0" eb="3">
      <t>エンカブツ</t>
    </rPh>
    <rPh sb="4" eb="7">
      <t>リュウサンエン</t>
    </rPh>
    <phoneticPr fontId="100"/>
  </si>
  <si>
    <t>炭酸水素</t>
    <rPh sb="0" eb="2">
      <t>タンサン</t>
    </rPh>
    <rPh sb="2" eb="4">
      <t>スイソ</t>
    </rPh>
    <phoneticPr fontId="100"/>
  </si>
  <si>
    <t>二酸化炭素</t>
    <rPh sb="0" eb="3">
      <t>ニサンカ</t>
    </rPh>
    <rPh sb="3" eb="5">
      <t>タンソ</t>
    </rPh>
    <phoneticPr fontId="100"/>
  </si>
  <si>
    <t>酸性</t>
    <rPh sb="0" eb="2">
      <t>サンセイ</t>
    </rPh>
    <phoneticPr fontId="100"/>
  </si>
  <si>
    <t>アトピー性皮膚炎、尋常性乾癬、慢性湿疹、表皮化膿症
（硫化水素型については、末梢循環障害を加える）</t>
    <phoneticPr fontId="100"/>
  </si>
  <si>
    <t>硫黄</t>
    <rPh sb="0" eb="2">
      <t>イオウ</t>
    </rPh>
    <phoneticPr fontId="100"/>
  </si>
  <si>
    <t>放射能</t>
    <rPh sb="0" eb="3">
      <t>ホウシャノウ</t>
    </rPh>
    <phoneticPr fontId="100"/>
  </si>
  <si>
    <t>アトピー性皮膚炎、尋常性乾癬、表皮化膿症、糖尿病</t>
    <rPh sb="21" eb="24">
      <t>トウニョウビョウ</t>
    </rPh>
    <phoneticPr fontId="100"/>
  </si>
  <si>
    <t>きりきず、末梢循環障害、冷え性、自律神経不安定症</t>
    <phoneticPr fontId="100"/>
  </si>
  <si>
    <t>きりきず、末梢循環障害、冷え性、皮膚乾燥症</t>
    <phoneticPr fontId="100"/>
  </si>
  <si>
    <t>高尿酸血症（痛風）、関節リウマチ、強直性脊椎炎</t>
    <phoneticPr fontId="100"/>
  </si>
  <si>
    <t>施設名</t>
    <rPh sb="0" eb="3">
      <t>シセツメイ</t>
    </rPh>
    <phoneticPr fontId="100"/>
  </si>
  <si>
    <t>利用場所</t>
    <rPh sb="0" eb="2">
      <t>リヨウ</t>
    </rPh>
    <rPh sb="2" eb="4">
      <t>バショ</t>
    </rPh>
    <phoneticPr fontId="100"/>
  </si>
  <si>
    <t>源泉名</t>
    <phoneticPr fontId="100"/>
  </si>
  <si>
    <t>成分数値で判別する湯触り</t>
    <rPh sb="0" eb="2">
      <t>セイブン</t>
    </rPh>
    <rPh sb="2" eb="4">
      <t>スウチ</t>
    </rPh>
    <rPh sb="5" eb="7">
      <t>ハンベツ</t>
    </rPh>
    <rPh sb="9" eb="10">
      <t>ユ</t>
    </rPh>
    <rPh sb="10" eb="11">
      <t>ザワ</t>
    </rPh>
    <phoneticPr fontId="100"/>
  </si>
  <si>
    <t>関節リウマチ、変形性関節症、腰痛症、神経痛、五十肩、打撲、捻挫、筋肉痛、冷え性、糖尿病、
軽症高血圧、末梢循環障害、胃腸機能の低下、高コレステロール血症、喘息、肺気腫、睡眠障害、
うつ状態、痔、自律神経不安定症、病後回復期、疲労回復、健康増進</t>
    <rPh sb="32" eb="35">
      <t>キンニクツウ</t>
    </rPh>
    <phoneticPr fontId="100"/>
  </si>
  <si>
    <r>
      <t>メタホウ酸</t>
    </r>
    <r>
      <rPr>
        <b/>
        <sz val="13"/>
        <color rgb="FFC00000"/>
        <rFont val="BIZ UDPゴシック"/>
        <family val="3"/>
        <charset val="128"/>
      </rPr>
      <t xml:space="preserve">　 </t>
    </r>
    <r>
      <rPr>
        <sz val="10"/>
        <color rgb="FFC00000"/>
        <rFont val="BIZ UDPゴシック"/>
        <family val="3"/>
        <charset val="128"/>
      </rPr>
      <t>5mg</t>
    </r>
    <phoneticPr fontId="100"/>
  </si>
  <si>
    <r>
      <t>メタ亜ヒ酸 　</t>
    </r>
    <r>
      <rPr>
        <sz val="10"/>
        <color rgb="FFC00000"/>
        <rFont val="BIZ UDPゴシック"/>
        <family val="3"/>
        <charset val="128"/>
      </rPr>
      <t>1mg</t>
    </r>
    <phoneticPr fontId="100"/>
  </si>
  <si>
    <r>
      <t>(HBO</t>
    </r>
    <r>
      <rPr>
        <vertAlign val="subscript"/>
        <sz val="11"/>
        <color theme="1"/>
        <rFont val="BIZ UDPゴシック"/>
        <family val="3"/>
        <charset val="128"/>
      </rPr>
      <t>2</t>
    </r>
    <r>
      <rPr>
        <sz val="11"/>
        <color theme="1"/>
        <rFont val="BIZ UDPゴシック"/>
        <family val="3"/>
        <charset val="128"/>
      </rPr>
      <t>)</t>
    </r>
    <phoneticPr fontId="100"/>
  </si>
  <si>
    <r>
      <t>(HAsO</t>
    </r>
    <r>
      <rPr>
        <vertAlign val="subscript"/>
        <sz val="11"/>
        <color theme="1"/>
        <rFont val="BIZ UDPゴシック"/>
        <family val="3"/>
        <charset val="128"/>
      </rPr>
      <t>2</t>
    </r>
    <r>
      <rPr>
        <sz val="11"/>
        <color theme="1"/>
        <rFont val="BIZ UDPゴシック"/>
        <family val="3"/>
        <charset val="128"/>
      </rPr>
      <t>)</t>
    </r>
    <phoneticPr fontId="100"/>
  </si>
  <si>
    <r>
      <t>(H</t>
    </r>
    <r>
      <rPr>
        <vertAlign val="subscript"/>
        <sz val="10"/>
        <color theme="1"/>
        <rFont val="BIZ UDPゴシック"/>
        <family val="3"/>
        <charset val="128"/>
      </rPr>
      <t>2</t>
    </r>
    <r>
      <rPr>
        <sz val="10"/>
        <color theme="1"/>
        <rFont val="BIZ UDPゴシック"/>
        <family val="3"/>
        <charset val="128"/>
      </rPr>
      <t>SiO</t>
    </r>
    <r>
      <rPr>
        <vertAlign val="subscript"/>
        <sz val="10"/>
        <color theme="1"/>
        <rFont val="BIZ UDPゴシック"/>
        <family val="3"/>
        <charset val="128"/>
      </rPr>
      <t>3</t>
    </r>
    <r>
      <rPr>
        <sz val="10"/>
        <color theme="1"/>
        <rFont val="BIZ UDPゴシック"/>
        <family val="3"/>
        <charset val="128"/>
      </rPr>
      <t>)</t>
    </r>
    <phoneticPr fontId="100"/>
  </si>
  <si>
    <r>
      <t>(H</t>
    </r>
    <r>
      <rPr>
        <vertAlign val="subscript"/>
        <sz val="11"/>
        <rFont val="BIZ UDPゴシック"/>
        <family val="3"/>
        <charset val="128"/>
      </rPr>
      <t>2</t>
    </r>
    <r>
      <rPr>
        <sz val="11"/>
        <rFont val="BIZ UDPゴシック"/>
        <family val="3"/>
        <charset val="128"/>
      </rPr>
      <t>S)</t>
    </r>
    <phoneticPr fontId="100"/>
  </si>
  <si>
    <r>
      <t>(Fe</t>
    </r>
    <r>
      <rPr>
        <vertAlign val="superscript"/>
        <sz val="12"/>
        <color theme="1"/>
        <rFont val="BIZ UDPゴシック"/>
        <family val="3"/>
        <charset val="128"/>
      </rPr>
      <t>3+</t>
    </r>
    <r>
      <rPr>
        <sz val="12"/>
        <color theme="1"/>
        <rFont val="BIZ UDPゴシック"/>
        <family val="3"/>
        <charset val="128"/>
      </rPr>
      <t>)</t>
    </r>
    <phoneticPr fontId="100"/>
  </si>
  <si>
    <t>鉛イオン</t>
    <rPh sb="0" eb="1">
      <t>ナマリ</t>
    </rPh>
    <phoneticPr fontId="100"/>
  </si>
  <si>
    <t>カドミウム</t>
  </si>
  <si>
    <t>(ｍS/m)</t>
  </si>
  <si>
    <r>
      <t>(Fe</t>
    </r>
    <r>
      <rPr>
        <vertAlign val="superscript"/>
        <sz val="9"/>
        <color theme="1"/>
        <rFont val="BIZ UDPゴシック"/>
        <family val="3"/>
        <charset val="128"/>
      </rPr>
      <t>2+</t>
    </r>
    <r>
      <rPr>
        <sz val="9"/>
        <color theme="1"/>
        <rFont val="BIZ UDPゴシック"/>
        <family val="3"/>
        <charset val="128"/>
      </rPr>
      <t>Fe</t>
    </r>
    <r>
      <rPr>
        <vertAlign val="superscript"/>
        <sz val="9"/>
        <color theme="1"/>
        <rFont val="BIZ UDPゴシック"/>
        <family val="3"/>
        <charset val="128"/>
      </rPr>
      <t>3+</t>
    </r>
    <r>
      <rPr>
        <sz val="9"/>
        <color theme="1"/>
        <rFont val="BIZ UDPゴシック"/>
        <family val="3"/>
        <charset val="128"/>
      </rPr>
      <t>)</t>
    </r>
    <phoneticPr fontId="100"/>
  </si>
  <si>
    <r>
      <t>メタけい酸　</t>
    </r>
    <r>
      <rPr>
        <sz val="10"/>
        <color rgb="FFC00000"/>
        <rFont val="BIZ UDPゴシック"/>
        <family val="3"/>
        <charset val="128"/>
      </rPr>
      <t>50ｍｇ</t>
    </r>
    <phoneticPr fontId="100"/>
  </si>
  <si>
    <t>銅イオン</t>
    <rPh sb="0" eb="1">
      <t>ドウ</t>
    </rPh>
    <phoneticPr fontId="100"/>
  </si>
  <si>
    <t>(HSiO3-)</t>
    <phoneticPr fontId="100"/>
  </si>
  <si>
    <t>メタホウ酸イオンmmol</t>
    <rPh sb="4" eb="5">
      <t>サン</t>
    </rPh>
    <phoneticPr fontId="100"/>
  </si>
  <si>
    <t>メタホウ酸電離ｍｍｏｌ</t>
    <rPh sb="4" eb="5">
      <t>サン</t>
    </rPh>
    <rPh sb="5" eb="7">
      <t>デンリ</t>
    </rPh>
    <phoneticPr fontId="100"/>
  </si>
  <si>
    <t>メタケイ酸イオンmmol</t>
    <rPh sb="4" eb="5">
      <t>サン</t>
    </rPh>
    <phoneticPr fontId="100"/>
  </si>
  <si>
    <t>メタケイ酸電離mmol</t>
    <rPh sb="4" eb="5">
      <t>サン</t>
    </rPh>
    <rPh sb="5" eb="7">
      <t>デンリ</t>
    </rPh>
    <phoneticPr fontId="100"/>
  </si>
  <si>
    <t>値(mg)</t>
    <rPh sb="0" eb="1">
      <t>チ</t>
    </rPh>
    <phoneticPr fontId="100"/>
  </si>
  <si>
    <t>◎ 数値以上</t>
    <rPh sb="2" eb="4">
      <t>スウチ</t>
    </rPh>
    <rPh sb="4" eb="6">
      <t>イジョウ</t>
    </rPh>
    <phoneticPr fontId="100"/>
  </si>
  <si>
    <t>○ 数値通り</t>
    <rPh sb="2" eb="4">
      <t>スウチ</t>
    </rPh>
    <rPh sb="4" eb="5">
      <t>ドオ</t>
    </rPh>
    <phoneticPr fontId="100"/>
  </si>
  <si>
    <t>△ 数値以下</t>
    <rPh sb="2" eb="4">
      <t>スウチ</t>
    </rPh>
    <rPh sb="4" eb="6">
      <t>イカ</t>
    </rPh>
    <phoneticPr fontId="100"/>
  </si>
  <si>
    <t>× 全く感じない</t>
    <rPh sb="2" eb="3">
      <t>マッタ</t>
    </rPh>
    <rPh sb="4" eb="5">
      <t>カン</t>
    </rPh>
    <phoneticPr fontId="100"/>
  </si>
  <si>
    <t>実際の入浴感</t>
    <rPh sb="0" eb="2">
      <t>ジッサイ</t>
    </rPh>
    <rPh sb="3" eb="5">
      <t>ニュウヨク</t>
    </rPh>
    <rPh sb="5" eb="6">
      <t>カン</t>
    </rPh>
    <phoneticPr fontId="100"/>
  </si>
  <si>
    <t>フッ化物イオン</t>
    <phoneticPr fontId="100"/>
  </si>
  <si>
    <t>(HCO3-)</t>
    <phoneticPr fontId="100"/>
  </si>
  <si>
    <t>&lt;0.002</t>
    <phoneticPr fontId="100"/>
  </si>
  <si>
    <t>炭酸イオン17.008計算</t>
    <rPh sb="0" eb="2">
      <t>タンサン</t>
    </rPh>
    <rPh sb="11" eb="13">
      <t>ケイサン</t>
    </rPh>
    <phoneticPr fontId="100"/>
  </si>
  <si>
    <t>補正する(自動補正)</t>
  </si>
  <si>
    <t>＜0.005</t>
    <phoneticPr fontId="100"/>
  </si>
  <si>
    <t>塩素系薬剤を使用</t>
    <rPh sb="0" eb="5">
      <t>エンソケイヤクザイ</t>
    </rPh>
    <rPh sb="6" eb="8">
      <t>シヨウ</t>
    </rPh>
    <phoneticPr fontId="100"/>
  </si>
  <si>
    <r>
      <t>(HS</t>
    </r>
    <r>
      <rPr>
        <vertAlign val="superscript"/>
        <sz val="12"/>
        <color rgb="FF503B00"/>
        <rFont val="BIZ UDPゴシック"/>
        <family val="3"/>
        <charset val="128"/>
      </rPr>
      <t>-</t>
    </r>
    <r>
      <rPr>
        <sz val="12"/>
        <color rgb="FF503B00"/>
        <rFont val="BIZ UDPゴシック"/>
        <family val="3"/>
        <charset val="128"/>
      </rPr>
      <t>)</t>
    </r>
  </si>
  <si>
    <r>
      <t>(S</t>
    </r>
    <r>
      <rPr>
        <vertAlign val="subscript"/>
        <sz val="12"/>
        <color rgb="FF503B00"/>
        <rFont val="BIZ UDPゴシック"/>
        <family val="3"/>
        <charset val="128"/>
      </rPr>
      <t>2</t>
    </r>
    <r>
      <rPr>
        <sz val="12"/>
        <color rgb="FF503B00"/>
        <rFont val="BIZ UDPゴシック"/>
        <family val="3"/>
        <charset val="128"/>
      </rPr>
      <t>O</t>
    </r>
    <r>
      <rPr>
        <vertAlign val="subscript"/>
        <sz val="12"/>
        <color rgb="FF503B00"/>
        <rFont val="BIZ UDPゴシック"/>
        <family val="3"/>
        <charset val="128"/>
      </rPr>
      <t>3</t>
    </r>
    <r>
      <rPr>
        <vertAlign val="superscript"/>
        <sz val="12"/>
        <color rgb="FF503B00"/>
        <rFont val="BIZ UDPゴシック"/>
        <family val="3"/>
        <charset val="128"/>
      </rPr>
      <t>2-</t>
    </r>
    <r>
      <rPr>
        <sz val="12"/>
        <color rgb="FF503B00"/>
        <rFont val="BIZ UDPゴシック"/>
        <family val="3"/>
        <charset val="128"/>
      </rPr>
      <t>)</t>
    </r>
  </si>
  <si>
    <r>
      <rPr>
        <b/>
        <sz val="12"/>
        <color rgb="FF503B00"/>
        <rFont val="BIZ UDPゴシック"/>
        <family val="3"/>
        <charset val="128"/>
      </rPr>
      <t>遊離</t>
    </r>
    <r>
      <rPr>
        <b/>
        <sz val="13"/>
        <color rgb="FF503B00"/>
        <rFont val="BIZ UDPゴシック"/>
        <family val="3"/>
        <charset val="128"/>
      </rPr>
      <t>硫化水素</t>
    </r>
  </si>
  <si>
    <r>
      <rPr>
        <b/>
        <sz val="12"/>
        <color rgb="FF002060"/>
        <rFont val="BIZ UDPゴシック"/>
        <family val="3"/>
        <charset val="128"/>
      </rPr>
      <t>二酸化炭素</t>
    </r>
    <r>
      <rPr>
        <b/>
        <sz val="8"/>
        <color rgb="FF0033CC"/>
        <rFont val="BIZ UDPゴシック"/>
        <family val="3"/>
        <charset val="128"/>
      </rPr>
      <t xml:space="preserve"> </t>
    </r>
    <r>
      <rPr>
        <sz val="8"/>
        <color rgb="FFC00000"/>
        <rFont val="BIZ UDPゴシック"/>
        <family val="3"/>
        <charset val="128"/>
      </rPr>
      <t>1000ｍｇ</t>
    </r>
    <phoneticPr fontId="100"/>
  </si>
  <si>
    <r>
      <rPr>
        <b/>
        <sz val="13"/>
        <color rgb="FF002060"/>
        <rFont val="BIZ UDPゴシック"/>
        <family val="3"/>
        <charset val="128"/>
      </rPr>
      <t xml:space="preserve">総硫黄 </t>
    </r>
    <r>
      <rPr>
        <sz val="8"/>
        <color rgb="FFC00000"/>
        <rFont val="BIZ UDPゴシック"/>
        <family val="3"/>
        <charset val="128"/>
      </rPr>
      <t>2ｍｇ</t>
    </r>
    <phoneticPr fontId="100"/>
  </si>
  <si>
    <r>
      <rPr>
        <b/>
        <sz val="13"/>
        <color rgb="FF002060"/>
        <rFont val="BIZ UDPゴシック"/>
        <family val="3"/>
        <charset val="128"/>
      </rPr>
      <t>水素イオン</t>
    </r>
    <r>
      <rPr>
        <b/>
        <sz val="13"/>
        <color rgb="FF0033CC"/>
        <rFont val="BIZ UDPゴシック"/>
        <family val="3"/>
        <charset val="128"/>
      </rPr>
      <t xml:space="preserve"> </t>
    </r>
    <r>
      <rPr>
        <sz val="8"/>
        <color rgb="FFC00000"/>
        <rFont val="BIZ UDPゴシック"/>
        <family val="3"/>
        <charset val="128"/>
      </rPr>
      <t>1mg</t>
    </r>
    <phoneticPr fontId="100"/>
  </si>
  <si>
    <r>
      <rPr>
        <b/>
        <sz val="12"/>
        <color rgb="FF002060"/>
        <rFont val="BIZ UDPゴシック"/>
        <family val="3"/>
        <charset val="128"/>
      </rPr>
      <t>ヨウ化物イオン</t>
    </r>
    <r>
      <rPr>
        <b/>
        <sz val="8"/>
        <color rgb="FF0033CC"/>
        <rFont val="BIZ UDPゴシック"/>
        <family val="3"/>
        <charset val="128"/>
      </rPr>
      <t xml:space="preserve"> </t>
    </r>
    <r>
      <rPr>
        <sz val="8"/>
        <color rgb="FFC00000"/>
        <rFont val="BIZ UDPゴシック"/>
        <family val="3"/>
        <charset val="128"/>
      </rPr>
      <t>10mg</t>
    </r>
    <phoneticPr fontId="100"/>
  </si>
  <si>
    <r>
      <t>(I</t>
    </r>
    <r>
      <rPr>
        <vertAlign val="superscript"/>
        <sz val="12"/>
        <color rgb="FF002060"/>
        <rFont val="BIZ UDPゴシック"/>
        <family val="3"/>
        <charset val="128"/>
      </rPr>
      <t>-</t>
    </r>
    <r>
      <rPr>
        <sz val="12"/>
        <color rgb="FF002060"/>
        <rFont val="BIZ UDPゴシック"/>
        <family val="3"/>
        <charset val="128"/>
      </rPr>
      <t>)</t>
    </r>
  </si>
  <si>
    <r>
      <t>(H</t>
    </r>
    <r>
      <rPr>
        <vertAlign val="superscript"/>
        <sz val="12"/>
        <color rgb="FF002060"/>
        <rFont val="BIZ UDPゴシック"/>
        <family val="3"/>
        <charset val="128"/>
      </rPr>
      <t>+</t>
    </r>
    <r>
      <rPr>
        <sz val="12"/>
        <color rgb="FF002060"/>
        <rFont val="BIZ UDPゴシック"/>
        <family val="3"/>
        <charset val="128"/>
      </rPr>
      <t>)</t>
    </r>
  </si>
  <si>
    <r>
      <t>(CO</t>
    </r>
    <r>
      <rPr>
        <vertAlign val="subscript"/>
        <sz val="11"/>
        <color rgb="FF002060"/>
        <rFont val="BIZ UDPゴシック"/>
        <family val="3"/>
        <charset val="128"/>
      </rPr>
      <t>2</t>
    </r>
    <r>
      <rPr>
        <sz val="11"/>
        <color rgb="FF002060"/>
        <rFont val="BIZ UDPゴシック"/>
        <family val="3"/>
        <charset val="128"/>
      </rPr>
      <t>)</t>
    </r>
    <phoneticPr fontId="100"/>
  </si>
  <si>
    <r>
      <t xml:space="preserve">高齢者の皮膚乾燥症
皮膚又は粘膜の過敏な人
</t>
    </r>
    <r>
      <rPr>
        <sz val="12"/>
        <color theme="1"/>
        <rFont val="BIZ UDPゴシック"/>
        <family val="3"/>
        <charset val="128"/>
      </rPr>
      <t>(特に光線過敏症の人)</t>
    </r>
    <phoneticPr fontId="100"/>
  </si>
  <si>
    <t>※1以上でヌルヌルを感じ、数値が大きいほど強くなる。1未満の場合はヌルヌルを感じない</t>
    <rPh sb="2" eb="4">
      <t>イジョウ</t>
    </rPh>
    <rPh sb="10" eb="11">
      <t>カン</t>
    </rPh>
    <rPh sb="13" eb="15">
      <t>スウチ</t>
    </rPh>
    <rPh sb="16" eb="17">
      <t>オオ</t>
    </rPh>
    <rPh sb="21" eb="22">
      <t>ツヨ</t>
    </rPh>
    <rPh sb="27" eb="29">
      <t>ミマン</t>
    </rPh>
    <rPh sb="30" eb="32">
      <t>バアイ</t>
    </rPh>
    <rPh sb="38" eb="39">
      <t>カン</t>
    </rPh>
    <phoneticPr fontId="100"/>
  </si>
  <si>
    <r>
      <rPr>
        <b/>
        <sz val="13"/>
        <color rgb="FF002060"/>
        <rFont val="BIZ UDPゴシック"/>
        <family val="3"/>
        <charset val="128"/>
      </rPr>
      <t>総鉄イオン</t>
    </r>
    <r>
      <rPr>
        <b/>
        <sz val="13"/>
        <color rgb="FF0033CC"/>
        <rFont val="BIZ UDPゴシック"/>
        <family val="3"/>
        <charset val="128"/>
      </rPr>
      <t xml:space="preserve"> </t>
    </r>
    <r>
      <rPr>
        <sz val="10"/>
        <color rgb="FFC00000"/>
        <rFont val="BIZ UDPゴシック"/>
        <family val="3"/>
        <charset val="128"/>
      </rPr>
      <t>20mg</t>
    </r>
    <phoneticPr fontId="100"/>
  </si>
  <si>
    <r>
      <t>基準値（</t>
    </r>
    <r>
      <rPr>
        <sz val="10"/>
        <color rgb="FFC00000"/>
        <rFont val="BIZ UDPゴシック"/>
        <family val="3"/>
        <charset val="128"/>
      </rPr>
      <t>30</t>
    </r>
    <r>
      <rPr>
        <sz val="10"/>
        <color theme="1"/>
        <rFont val="BIZ UDPゴシック"/>
        <family val="3"/>
        <charset val="128"/>
      </rPr>
      <t>×10</t>
    </r>
    <r>
      <rPr>
        <vertAlign val="superscript"/>
        <sz val="10"/>
        <color theme="1"/>
        <rFont val="BIZ UDPゴシック"/>
        <family val="3"/>
        <charset val="128"/>
      </rPr>
      <t>－10</t>
    </r>
    <r>
      <rPr>
        <sz val="10"/>
        <color theme="1"/>
        <rFont val="BIZ UDPゴシック"/>
        <family val="3"/>
        <charset val="128"/>
      </rPr>
      <t>Ci、</t>
    </r>
    <r>
      <rPr>
        <sz val="10"/>
        <color rgb="FFC00000"/>
        <rFont val="BIZ UDPゴシック"/>
        <family val="3"/>
        <charset val="128"/>
      </rPr>
      <t>8.25</t>
    </r>
    <r>
      <rPr>
        <sz val="10"/>
        <color theme="1"/>
        <rFont val="BIZ UDPゴシック"/>
        <family val="3"/>
        <charset val="128"/>
      </rPr>
      <t>M・E）</t>
    </r>
    <phoneticPr fontId="100"/>
  </si>
  <si>
    <t>ヌルヌル判別付 成分表</t>
    <rPh sb="4" eb="6">
      <t>ハンベツ</t>
    </rPh>
    <rPh sb="6" eb="7">
      <t>ツ</t>
    </rPh>
    <rPh sb="8" eb="10">
      <t>セイブン</t>
    </rPh>
    <rPh sb="10" eb="11">
      <t>ヒョウ</t>
    </rPh>
    <phoneticPr fontId="100"/>
  </si>
  <si>
    <t>○○1号源泉</t>
    <rPh sb="3" eb="4">
      <t>ゴウ</t>
    </rPh>
    <rPh sb="4" eb="6">
      <t>ゲンセン</t>
    </rPh>
    <phoneticPr fontId="100"/>
  </si>
  <si>
    <t>東北名湯旅館</t>
    <rPh sb="0" eb="2">
      <t>トウホク</t>
    </rPh>
    <rPh sb="2" eb="4">
      <t>メイトウ</t>
    </rPh>
    <rPh sb="4" eb="6">
      <t>リョカン</t>
    </rPh>
    <phoneticPr fontId="100"/>
  </si>
  <si>
    <t>有</t>
    <rPh sb="0" eb="1">
      <t>アリ</t>
    </rPh>
    <phoneticPr fontId="100"/>
  </si>
  <si>
    <t>源泉の温度が高いため</t>
    <rPh sb="0" eb="2">
      <t>ゲンセン</t>
    </rPh>
    <rPh sb="3" eb="5">
      <t>オンド</t>
    </rPh>
    <rPh sb="6" eb="7">
      <t>タカ</t>
    </rPh>
    <phoneticPr fontId="100"/>
  </si>
  <si>
    <t>循環ろ過装置・貯湯槽を有するため、衛生管理目的</t>
    <rPh sb="0" eb="2">
      <t>ジュンカン</t>
    </rPh>
    <rPh sb="3" eb="4">
      <t>カ</t>
    </rPh>
    <rPh sb="4" eb="6">
      <t>ソウチ</t>
    </rPh>
    <rPh sb="7" eb="9">
      <t>チョトウ</t>
    </rPh>
    <rPh sb="9" eb="10">
      <t>ソウ</t>
    </rPh>
    <rPh sb="11" eb="12">
      <t>ユウ</t>
    </rPh>
    <rPh sb="17" eb="19">
      <t>エイセイ</t>
    </rPh>
    <rPh sb="19" eb="21">
      <t>カンリ</t>
    </rPh>
    <rPh sb="21" eb="23">
      <t>モクテキ</t>
    </rPh>
    <phoneticPr fontId="100"/>
  </si>
  <si>
    <t>衛生管理のため循環ろ過装置を使用</t>
    <rPh sb="0" eb="2">
      <t>エイセイ</t>
    </rPh>
    <rPh sb="2" eb="4">
      <t>カンリ</t>
    </rPh>
    <rPh sb="7" eb="9">
      <t>ジュンカン</t>
    </rPh>
    <rPh sb="10" eb="13">
      <t>カソウチ</t>
    </rPh>
    <rPh sb="14" eb="16">
      <t>シヨウ</t>
    </rPh>
    <phoneticPr fontId="102"/>
  </si>
  <si>
    <t/>
  </si>
  <si>
    <t>ナトリウム―塩化物・炭酸水素塩泉</t>
    <rPh sb="6" eb="9">
      <t>エンカブツ</t>
    </rPh>
    <rPh sb="10" eb="12">
      <t>タンサン</t>
    </rPh>
    <rPh sb="12" eb="14">
      <t>スイソ</t>
    </rPh>
    <rPh sb="14" eb="16">
      <t>エンセン</t>
    </rPh>
    <phoneticPr fontId="100"/>
  </si>
  <si>
    <r>
      <rPr>
        <sz val="26"/>
        <color theme="1"/>
        <rFont val="BIZ UDPゴシック"/>
        <family val="3"/>
        <charset val="128"/>
      </rPr>
      <t>成分表解説用</t>
    </r>
    <r>
      <rPr>
        <sz val="48"/>
        <color theme="1"/>
        <rFont val="BIZ UDPゴシック"/>
        <family val="3"/>
        <charset val="128"/>
      </rPr>
      <t xml:space="preserve">
</t>
    </r>
    <r>
      <rPr>
        <sz val="22"/>
        <color theme="1"/>
        <rFont val="BIZ UDPゴシック"/>
        <family val="3"/>
        <charset val="128"/>
      </rPr>
      <t>(この表に入力しても正常な結果は出ません)</t>
    </r>
    <rPh sb="0" eb="2">
      <t>セイブン</t>
    </rPh>
    <rPh sb="2" eb="3">
      <t>ヒョウ</t>
    </rPh>
    <rPh sb="3" eb="5">
      <t>カイセツ</t>
    </rPh>
    <rPh sb="5" eb="6">
      <t>ヨウ</t>
    </rPh>
    <rPh sb="10" eb="11">
      <t>ヒョウ</t>
    </rPh>
    <rPh sb="12" eb="14">
      <t>ニュウリョク</t>
    </rPh>
    <rPh sb="17" eb="19">
      <t>セイジョウ</t>
    </rPh>
    <rPh sb="20" eb="22">
      <t>ケッカ</t>
    </rPh>
    <rPh sb="23" eb="24">
      <t>デ</t>
    </rPh>
    <phoneticPr fontId="100"/>
  </si>
  <si>
    <t>利用規約を必ずご確認ください。
利用する際は全て同意したものとして取り扱います。</t>
    <rPh sb="0" eb="2">
      <t>リヨウ</t>
    </rPh>
    <rPh sb="2" eb="4">
      <t>キヤク</t>
    </rPh>
    <rPh sb="5" eb="6">
      <t>カナラ</t>
    </rPh>
    <rPh sb="8" eb="10">
      <t>カクニン</t>
    </rPh>
    <rPh sb="16" eb="18">
      <t>リヨウ</t>
    </rPh>
    <rPh sb="20" eb="21">
      <t>サイ</t>
    </rPh>
    <rPh sb="22" eb="23">
      <t>スベ</t>
    </rPh>
    <rPh sb="24" eb="26">
      <t>ドウイ</t>
    </rPh>
    <rPh sb="33" eb="34">
      <t>ト</t>
    </rPh>
    <rPh sb="35" eb="36">
      <t>アツカ</t>
    </rPh>
    <phoneticPr fontId="100"/>
  </si>
  <si>
    <r>
      <t xml:space="preserve">この表は解説用です！
実際の入力は下タブの『横長成分表』から切り替えて
入力してください。
</t>
    </r>
    <r>
      <rPr>
        <b/>
        <sz val="18"/>
        <color theme="0"/>
        <rFont val="BIZ UDPゴシック"/>
        <family val="3"/>
        <charset val="128"/>
      </rPr>
      <t>この表に入力しても正しい数値は出ません！！</t>
    </r>
    <rPh sb="2" eb="3">
      <t>ヒョウ</t>
    </rPh>
    <rPh sb="4" eb="6">
      <t>カイセツ</t>
    </rPh>
    <rPh sb="6" eb="7">
      <t>ヨウ</t>
    </rPh>
    <rPh sb="11" eb="13">
      <t>ジッサイ</t>
    </rPh>
    <rPh sb="14" eb="16">
      <t>ニュウリョク</t>
    </rPh>
    <rPh sb="17" eb="18">
      <t>シタ</t>
    </rPh>
    <rPh sb="22" eb="24">
      <t>ヨコナガ</t>
    </rPh>
    <rPh sb="24" eb="27">
      <t>セイブンヒョウ</t>
    </rPh>
    <rPh sb="30" eb="31">
      <t>キ</t>
    </rPh>
    <rPh sb="32" eb="33">
      <t>カ</t>
    </rPh>
    <rPh sb="36" eb="38">
      <t>ニュウリョク</t>
    </rPh>
    <rPh sb="48" eb="49">
      <t>ヒョウ</t>
    </rPh>
    <rPh sb="50" eb="52">
      <t>ニュウリョク</t>
    </rPh>
    <rPh sb="55" eb="56">
      <t>タダ</t>
    </rPh>
    <rPh sb="58" eb="60">
      <t>スウチ</t>
    </rPh>
    <rPh sb="61" eb="62">
      <t>デ</t>
    </rPh>
    <phoneticPr fontId="100"/>
  </si>
  <si>
    <t>©東北名湯ちゃんねる</t>
    <rPh sb="1" eb="3">
      <t>トウホク</t>
    </rPh>
    <rPh sb="3" eb="5">
      <t>メイトウ</t>
    </rPh>
    <phoneticPr fontId="100"/>
  </si>
  <si>
    <t>源泉100％</t>
    <rPh sb="0" eb="2">
      <t>ゲンセン</t>
    </rPh>
    <phoneticPr fontId="100"/>
  </si>
  <si>
    <t>かけ流し</t>
    <rPh sb="2" eb="3">
      <t>ナガ</t>
    </rPh>
    <phoneticPr fontId="100"/>
  </si>
  <si>
    <r>
      <t xml:space="preserve">【本表について】
</t>
    </r>
    <r>
      <rPr>
        <b/>
        <sz val="14"/>
        <color theme="1"/>
        <rFont val="BIZ UDPゴシック"/>
        <family val="3"/>
        <charset val="128"/>
      </rPr>
      <t>利用されているフォントは『BIZ UDPゴシック』です。こちらのフォントを推奨します。</t>
    </r>
    <r>
      <rPr>
        <sz val="14"/>
        <color theme="1"/>
        <rFont val="BIZ UDPゴシック"/>
        <family val="3"/>
        <charset val="128"/>
      </rPr>
      <t xml:space="preserve">
この成分表では指定数値を入力するだけで『ヌルヌル値』 『各イオンのミリバル値・ミリバル％』を計算します。また、『溶存物質量』 『総硫黄』 『総鉄イオン』も自動的に出力され、補足事項(低張性中性高温泉みたいなやつ)も自動的に挿入されます。</t>
    </r>
    <rPh sb="1" eb="2">
      <t>ホン</t>
    </rPh>
    <rPh sb="2" eb="3">
      <t>ヒョウ</t>
    </rPh>
    <rPh sb="9" eb="11">
      <t>リヨウ</t>
    </rPh>
    <rPh sb="46" eb="48">
      <t>スイショウ</t>
    </rPh>
    <rPh sb="56" eb="59">
      <t>セイブンヒョウ</t>
    </rPh>
    <rPh sb="61" eb="63">
      <t>シテイ</t>
    </rPh>
    <rPh sb="63" eb="65">
      <t>スウチ</t>
    </rPh>
    <rPh sb="66" eb="68">
      <t>ニュウリョク</t>
    </rPh>
    <rPh sb="78" eb="79">
      <t>チ</t>
    </rPh>
    <rPh sb="82" eb="83">
      <t>カク</t>
    </rPh>
    <rPh sb="91" eb="92">
      <t>チ</t>
    </rPh>
    <rPh sb="100" eb="102">
      <t>ケイサン</t>
    </rPh>
    <rPh sb="110" eb="112">
      <t>ヨウゾン</t>
    </rPh>
    <rPh sb="112" eb="114">
      <t>ブッシツ</t>
    </rPh>
    <rPh sb="114" eb="115">
      <t>リョウ</t>
    </rPh>
    <rPh sb="118" eb="119">
      <t>ソウ</t>
    </rPh>
    <rPh sb="119" eb="121">
      <t>イオウ</t>
    </rPh>
    <rPh sb="124" eb="126">
      <t>ソウテツ</t>
    </rPh>
    <rPh sb="131" eb="134">
      <t>ジドウテキ</t>
    </rPh>
    <rPh sb="135" eb="137">
      <t>シュツリョク</t>
    </rPh>
    <rPh sb="140" eb="142">
      <t>ホソク</t>
    </rPh>
    <rPh sb="142" eb="144">
      <t>ジコウ</t>
    </rPh>
    <rPh sb="145" eb="148">
      <t>テイチョウセイ</t>
    </rPh>
    <rPh sb="148" eb="150">
      <t>チュウセイ</t>
    </rPh>
    <rPh sb="150" eb="153">
      <t>コウオンセン</t>
    </rPh>
    <rPh sb="161" eb="163">
      <t>ジドウ</t>
    </rPh>
    <rPh sb="163" eb="164">
      <t>テキ</t>
    </rPh>
    <rPh sb="165" eb="167">
      <t>ソウニュウ</t>
    </rPh>
    <phoneticPr fontId="100"/>
  </si>
  <si>
    <t>この度は『東北名湯ちゃんねる ヌルヌル値計測付き 成分分析表』をダウンロードいただきまして、誠に有り難うございます。
本表を利用するに辺り、以下のように規約を定めておりますのでご確認の上でご利用くださいませ。
なお、ご質問がございましたら当ホームページの「お問い合わせ」からご一報ください。</t>
    <rPh sb="2" eb="3">
      <t>タビ</t>
    </rPh>
    <rPh sb="5" eb="9">
      <t>トウホクメイトウ</t>
    </rPh>
    <rPh sb="19" eb="20">
      <t>チ</t>
    </rPh>
    <rPh sb="20" eb="22">
      <t>ケイソク</t>
    </rPh>
    <rPh sb="22" eb="23">
      <t>ツ</t>
    </rPh>
    <rPh sb="25" eb="27">
      <t>セイブン</t>
    </rPh>
    <rPh sb="27" eb="30">
      <t>ブンセキヒョウ</t>
    </rPh>
    <rPh sb="46" eb="47">
      <t>マコト</t>
    </rPh>
    <rPh sb="48" eb="49">
      <t>ア</t>
    </rPh>
    <rPh sb="50" eb="51">
      <t>ガト</t>
    </rPh>
    <rPh sb="59" eb="60">
      <t>ホン</t>
    </rPh>
    <rPh sb="60" eb="61">
      <t>ヒョウ</t>
    </rPh>
    <rPh sb="62" eb="64">
      <t>リヨウ</t>
    </rPh>
    <rPh sb="67" eb="68">
      <t>アタ</t>
    </rPh>
    <rPh sb="70" eb="72">
      <t>イカ</t>
    </rPh>
    <rPh sb="76" eb="78">
      <t>キヤク</t>
    </rPh>
    <rPh sb="79" eb="80">
      <t>サダ</t>
    </rPh>
    <rPh sb="89" eb="91">
      <t>カクニン</t>
    </rPh>
    <rPh sb="92" eb="93">
      <t>ウエ</t>
    </rPh>
    <rPh sb="95" eb="97">
      <t>リヨウ</t>
    </rPh>
    <rPh sb="109" eb="111">
      <t>シツモン</t>
    </rPh>
    <rPh sb="119" eb="120">
      <t>トウ</t>
    </rPh>
    <rPh sb="129" eb="130">
      <t>ト</t>
    </rPh>
    <rPh sb="131" eb="132">
      <t>ア</t>
    </rPh>
    <rPh sb="138" eb="140">
      <t>イッポウ</t>
    </rPh>
    <phoneticPr fontId="100"/>
  </si>
  <si>
    <t>本表は個人が作成したものであり、一切の動作確認や正確性を保証いたしません。
また、本表を用いて何かしらの不利益や損害が発生したとしても当方は一切責任を負わないものとします。</t>
    <rPh sb="0" eb="1">
      <t>ホン</t>
    </rPh>
    <rPh sb="1" eb="2">
      <t>ヒョウ</t>
    </rPh>
    <rPh sb="3" eb="5">
      <t>コジン</t>
    </rPh>
    <rPh sb="6" eb="8">
      <t>サクセイ</t>
    </rPh>
    <rPh sb="16" eb="18">
      <t>イッサイ</t>
    </rPh>
    <rPh sb="19" eb="21">
      <t>ドウサ</t>
    </rPh>
    <rPh sb="21" eb="23">
      <t>カクニン</t>
    </rPh>
    <rPh sb="24" eb="27">
      <t>セイカクセイ</t>
    </rPh>
    <rPh sb="28" eb="30">
      <t>ホショウ</t>
    </rPh>
    <rPh sb="41" eb="42">
      <t>ホン</t>
    </rPh>
    <rPh sb="42" eb="43">
      <t>ヒョウ</t>
    </rPh>
    <rPh sb="44" eb="45">
      <t>モチ</t>
    </rPh>
    <rPh sb="47" eb="48">
      <t>ナニ</t>
    </rPh>
    <rPh sb="52" eb="55">
      <t>フリエキ</t>
    </rPh>
    <rPh sb="56" eb="58">
      <t>ソンガイ</t>
    </rPh>
    <rPh sb="59" eb="61">
      <t>ハッセイ</t>
    </rPh>
    <rPh sb="67" eb="69">
      <t>トウホウ</t>
    </rPh>
    <rPh sb="70" eb="72">
      <t>イッサイ</t>
    </rPh>
    <rPh sb="72" eb="74">
      <t>セキニン</t>
    </rPh>
    <rPh sb="75" eb="76">
      <t>オ</t>
    </rPh>
    <phoneticPr fontId="100"/>
  </si>
  <si>
    <t>本表(Excelデータ)は『BIZ UDPゴシック』を利用して作成しています。他のフォントだと表記が崩れます。
こちらから無料でダウンロード出来るので、合わせてご利用ください。(https://fonts.google.com/specimen/BIZ+UDPGothic)</t>
    <rPh sb="0" eb="1">
      <t>ホン</t>
    </rPh>
    <rPh sb="1" eb="2">
      <t>ヒョウ</t>
    </rPh>
    <rPh sb="27" eb="29">
      <t>リヨウ</t>
    </rPh>
    <rPh sb="31" eb="33">
      <t>サクセイ</t>
    </rPh>
    <rPh sb="39" eb="40">
      <t>ホカ</t>
    </rPh>
    <rPh sb="47" eb="49">
      <t>ヒョウキ</t>
    </rPh>
    <rPh sb="50" eb="51">
      <t>クズ</t>
    </rPh>
    <rPh sb="61" eb="63">
      <t>ムリョウ</t>
    </rPh>
    <rPh sb="70" eb="72">
      <t>デキ</t>
    </rPh>
    <rPh sb="76" eb="77">
      <t>ア</t>
    </rPh>
    <rPh sb="81" eb="83">
      <t>リヨウ</t>
    </rPh>
    <phoneticPr fontId="100"/>
  </si>
  <si>
    <t>注意事項</t>
    <rPh sb="0" eb="2">
      <t>チュウイ</t>
    </rPh>
    <rPh sb="2" eb="4">
      <t>ジコウ</t>
    </rPh>
    <phoneticPr fontId="100"/>
  </si>
  <si>
    <t>利用料について</t>
    <rPh sb="0" eb="3">
      <t>リヨウリョウ</t>
    </rPh>
    <phoneticPr fontId="100"/>
  </si>
  <si>
    <t>事前に許可済の場合
A：本表をメインとした記事や動画などの場合：得た収入の3割（動画広告の場合は1ヶ月間）
B：本表をメインとしない補助的な利用の場合：得た収入の1割（最大10,000円）</t>
    <rPh sb="0" eb="2">
      <t>ジゼン</t>
    </rPh>
    <rPh sb="3" eb="5">
      <t>キョカ</t>
    </rPh>
    <rPh sb="5" eb="6">
      <t>スミ</t>
    </rPh>
    <rPh sb="7" eb="9">
      <t>バアイ</t>
    </rPh>
    <rPh sb="12" eb="13">
      <t>ホン</t>
    </rPh>
    <rPh sb="13" eb="14">
      <t>ヒョウ</t>
    </rPh>
    <rPh sb="21" eb="23">
      <t>キジ</t>
    </rPh>
    <rPh sb="24" eb="26">
      <t>ドウガ</t>
    </rPh>
    <rPh sb="29" eb="31">
      <t>バアイ</t>
    </rPh>
    <rPh sb="32" eb="33">
      <t>エ</t>
    </rPh>
    <rPh sb="34" eb="36">
      <t>シュウニュウ</t>
    </rPh>
    <rPh sb="38" eb="39">
      <t>ワリ</t>
    </rPh>
    <rPh sb="40" eb="42">
      <t>ドウガ</t>
    </rPh>
    <rPh sb="42" eb="44">
      <t>コウコク</t>
    </rPh>
    <rPh sb="45" eb="47">
      <t>バアイ</t>
    </rPh>
    <rPh sb="50" eb="52">
      <t>ゲツカン</t>
    </rPh>
    <rPh sb="56" eb="57">
      <t>ホン</t>
    </rPh>
    <rPh sb="57" eb="58">
      <t>ヒョウ</t>
    </rPh>
    <rPh sb="66" eb="69">
      <t>ホジョテキ</t>
    </rPh>
    <rPh sb="70" eb="72">
      <t>リヨウ</t>
    </rPh>
    <rPh sb="73" eb="75">
      <t>バアイ</t>
    </rPh>
    <rPh sb="76" eb="77">
      <t>エ</t>
    </rPh>
    <rPh sb="78" eb="80">
      <t>シュウニュウ</t>
    </rPh>
    <rPh sb="82" eb="83">
      <t>ワリ</t>
    </rPh>
    <rPh sb="84" eb="86">
      <t>サイダイ</t>
    </rPh>
    <rPh sb="92" eb="93">
      <t>エン</t>
    </rPh>
    <phoneticPr fontId="100"/>
  </si>
  <si>
    <t>本表のヌルヌル値の計算式は論文を元に、独自の解釈を加えたものとなります。
化学的モデルではなく、体感的モデルとなっているので実際の論文とは数値・結果は異なります。
また、本ヌルヌル値の計算結果はおよそ50程度のヌルヌルを感じるとされる施設を実際に当てはめて、的中率が高いモデルに仕上げていますが、約0.5％程度の確率で大幅に異なる結果が生じます。
(原因は『現状の源泉成分が成分表と大きく異なる』ことが主だと推測しています)
予め、ご了承のうえでご利用ください。
なお、本表のヌルヌル値は独自の計算が多い為、ヌルヌル計測器を新たに作ったとしても同じ結果となることはまずありません。
その為、無許可でコピー・再配布を行った際はDL数に応じた利用料を請求させていただきます。</t>
    <rPh sb="0" eb="1">
      <t>ホン</t>
    </rPh>
    <rPh sb="1" eb="2">
      <t>ヒョウ</t>
    </rPh>
    <rPh sb="7" eb="8">
      <t>チ</t>
    </rPh>
    <rPh sb="9" eb="12">
      <t>ケイサンシキ</t>
    </rPh>
    <rPh sb="13" eb="15">
      <t>ロンブン</t>
    </rPh>
    <rPh sb="16" eb="17">
      <t>モト</t>
    </rPh>
    <rPh sb="19" eb="21">
      <t>ドクジ</t>
    </rPh>
    <rPh sb="22" eb="24">
      <t>カイシャク</t>
    </rPh>
    <rPh sb="25" eb="26">
      <t>クワ</t>
    </rPh>
    <rPh sb="37" eb="40">
      <t>カガクテキ</t>
    </rPh>
    <rPh sb="62" eb="64">
      <t>ジッサイ</t>
    </rPh>
    <rPh sb="65" eb="67">
      <t>ロンブン</t>
    </rPh>
    <rPh sb="69" eb="71">
      <t>スウチ</t>
    </rPh>
    <rPh sb="72" eb="74">
      <t>ケッカ</t>
    </rPh>
    <rPh sb="75" eb="76">
      <t>コト</t>
    </rPh>
    <rPh sb="85" eb="86">
      <t>ホン</t>
    </rPh>
    <rPh sb="90" eb="91">
      <t>チ</t>
    </rPh>
    <rPh sb="92" eb="94">
      <t>ケイサン</t>
    </rPh>
    <rPh sb="94" eb="96">
      <t>ケッカ</t>
    </rPh>
    <rPh sb="102" eb="104">
      <t>テイド</t>
    </rPh>
    <rPh sb="110" eb="111">
      <t>カン</t>
    </rPh>
    <rPh sb="117" eb="119">
      <t>シセツ</t>
    </rPh>
    <rPh sb="120" eb="122">
      <t>ジッサイ</t>
    </rPh>
    <rPh sb="123" eb="124">
      <t>ア</t>
    </rPh>
    <rPh sb="129" eb="132">
      <t>テキチュウリツ</t>
    </rPh>
    <rPh sb="133" eb="134">
      <t>タカ</t>
    </rPh>
    <rPh sb="139" eb="141">
      <t>シア</t>
    </rPh>
    <rPh sb="148" eb="149">
      <t>ヤク</t>
    </rPh>
    <rPh sb="153" eb="155">
      <t>テイド</t>
    </rPh>
    <rPh sb="156" eb="158">
      <t>カクリツ</t>
    </rPh>
    <rPh sb="159" eb="161">
      <t>オオハバ</t>
    </rPh>
    <rPh sb="162" eb="163">
      <t>コト</t>
    </rPh>
    <rPh sb="165" eb="167">
      <t>ケッカ</t>
    </rPh>
    <rPh sb="168" eb="169">
      <t>ショウ</t>
    </rPh>
    <rPh sb="175" eb="177">
      <t>ゲンイン</t>
    </rPh>
    <rPh sb="179" eb="181">
      <t>ゲンジョウ</t>
    </rPh>
    <rPh sb="182" eb="184">
      <t>ゲンセン</t>
    </rPh>
    <rPh sb="184" eb="186">
      <t>セイブン</t>
    </rPh>
    <rPh sb="187" eb="190">
      <t>セイブンヒョウ</t>
    </rPh>
    <rPh sb="191" eb="192">
      <t>オオ</t>
    </rPh>
    <rPh sb="194" eb="195">
      <t>コト</t>
    </rPh>
    <rPh sb="201" eb="202">
      <t>オモ</t>
    </rPh>
    <rPh sb="204" eb="206">
      <t>スイソク</t>
    </rPh>
    <rPh sb="213" eb="214">
      <t>アラカジ</t>
    </rPh>
    <rPh sb="217" eb="219">
      <t>リョウショウ</t>
    </rPh>
    <rPh sb="224" eb="226">
      <t>リヨウ</t>
    </rPh>
    <rPh sb="236" eb="237">
      <t>ホン</t>
    </rPh>
    <rPh sb="237" eb="238">
      <t>ヒョウ</t>
    </rPh>
    <rPh sb="243" eb="244">
      <t>チ</t>
    </rPh>
    <rPh sb="245" eb="247">
      <t>ドクジ</t>
    </rPh>
    <rPh sb="248" eb="250">
      <t>ケイサン</t>
    </rPh>
    <rPh sb="251" eb="252">
      <t>オオ</t>
    </rPh>
    <rPh sb="253" eb="254">
      <t>タメ</t>
    </rPh>
    <rPh sb="259" eb="262">
      <t>ケイソクキ</t>
    </rPh>
    <rPh sb="263" eb="264">
      <t>アラ</t>
    </rPh>
    <rPh sb="266" eb="267">
      <t>ツク</t>
    </rPh>
    <rPh sb="273" eb="274">
      <t>オナ</t>
    </rPh>
    <rPh sb="275" eb="277">
      <t>ケッカ</t>
    </rPh>
    <rPh sb="294" eb="295">
      <t>タメ</t>
    </rPh>
    <rPh sb="296" eb="299">
      <t>ムキョカ</t>
    </rPh>
    <rPh sb="304" eb="307">
      <t>サイハイフ</t>
    </rPh>
    <rPh sb="308" eb="309">
      <t>オコナ</t>
    </rPh>
    <rPh sb="311" eb="312">
      <t>サイ</t>
    </rPh>
    <rPh sb="315" eb="316">
      <t>スウ</t>
    </rPh>
    <rPh sb="317" eb="318">
      <t>オウ</t>
    </rPh>
    <rPh sb="320" eb="323">
      <t>リヨウリョウ</t>
    </rPh>
    <rPh sb="324" eb="326">
      <t>セイキュウ</t>
    </rPh>
    <phoneticPr fontId="100"/>
  </si>
  <si>
    <t>事後報告・及び、許可を得ずに再配布などを行った場合
C：本表をメインとした記事や動画などの場合：得た収入の200％（動画広告の場合は1ヶ月間で得た収益の2倍）
D：本表をメインとしない補助的な利用の場合：得た収入の50％（最大20,000円）
E：本表自体を無許可でExcelデータの再配布などを行った場合：DL数×100円（不明の場合は30万円）</t>
    <rPh sb="0" eb="2">
      <t>ジゴ</t>
    </rPh>
    <rPh sb="2" eb="4">
      <t>ホウコク</t>
    </rPh>
    <rPh sb="5" eb="6">
      <t>オヨ</t>
    </rPh>
    <rPh sb="8" eb="10">
      <t>キョカ</t>
    </rPh>
    <rPh sb="11" eb="12">
      <t>エ</t>
    </rPh>
    <rPh sb="14" eb="17">
      <t>サイハイフ</t>
    </rPh>
    <rPh sb="20" eb="21">
      <t>オコナ</t>
    </rPh>
    <rPh sb="23" eb="25">
      <t>バアイ</t>
    </rPh>
    <rPh sb="71" eb="72">
      <t>エ</t>
    </rPh>
    <rPh sb="73" eb="75">
      <t>シュウエキ</t>
    </rPh>
    <rPh sb="77" eb="78">
      <t>バイ</t>
    </rPh>
    <rPh sb="124" eb="125">
      <t>ホン</t>
    </rPh>
    <phoneticPr fontId="100"/>
  </si>
  <si>
    <t>Excelシート(スプレッドシートなど互換形式含む)の再配布は禁止です。また、改変したものでも再配布は出来ません。
また、本データをコピーや複製し、新たなExcelデータを構築したものも改変したデータと見なします。
(原型がないほどの変更を加えたものでも、本表をベースにしている場合は再配布出来ません)</t>
    <rPh sb="19" eb="21">
      <t>ゴカン</t>
    </rPh>
    <rPh sb="21" eb="23">
      <t>ケイシキ</t>
    </rPh>
    <rPh sb="23" eb="24">
      <t>フク</t>
    </rPh>
    <rPh sb="27" eb="30">
      <t>サイハイフ</t>
    </rPh>
    <rPh sb="31" eb="33">
      <t>キンシ</t>
    </rPh>
    <rPh sb="39" eb="41">
      <t>カイヘン</t>
    </rPh>
    <rPh sb="47" eb="50">
      <t>サイハイフ</t>
    </rPh>
    <rPh sb="51" eb="53">
      <t>デキ</t>
    </rPh>
    <rPh sb="61" eb="62">
      <t>ホン</t>
    </rPh>
    <rPh sb="70" eb="72">
      <t>フクセイ</t>
    </rPh>
    <rPh sb="74" eb="75">
      <t>アラ</t>
    </rPh>
    <rPh sb="86" eb="88">
      <t>コウチク</t>
    </rPh>
    <rPh sb="93" eb="95">
      <t>カイヘン</t>
    </rPh>
    <rPh sb="101" eb="102">
      <t>ミ</t>
    </rPh>
    <rPh sb="109" eb="111">
      <t>ゲンケイ</t>
    </rPh>
    <rPh sb="117" eb="119">
      <t>ヘンコウ</t>
    </rPh>
    <rPh sb="120" eb="121">
      <t>クワ</t>
    </rPh>
    <rPh sb="128" eb="129">
      <t>ホン</t>
    </rPh>
    <rPh sb="129" eb="130">
      <t>ヒョウ</t>
    </rPh>
    <rPh sb="139" eb="141">
      <t>バアイ</t>
    </rPh>
    <rPh sb="142" eb="145">
      <t>サイハイフ</t>
    </rPh>
    <rPh sb="145" eb="147">
      <t>デキ</t>
    </rPh>
    <phoneticPr fontId="100"/>
  </si>
  <si>
    <t>私的利用に辺り、データや計算式の改変は自由に行って構いませんが、改変を行った際のデータを公開する際は必ず「本表は配布元とは異なる計算を行っています」などの注意文を記入してください。</t>
    <rPh sb="0" eb="2">
      <t>シテキ</t>
    </rPh>
    <rPh sb="2" eb="4">
      <t>リヨウ</t>
    </rPh>
    <rPh sb="5" eb="6">
      <t>アタ</t>
    </rPh>
    <rPh sb="12" eb="15">
      <t>ケイサンシキ</t>
    </rPh>
    <rPh sb="16" eb="18">
      <t>カイヘン</t>
    </rPh>
    <rPh sb="19" eb="21">
      <t>ジユウ</t>
    </rPh>
    <rPh sb="22" eb="23">
      <t>オコナ</t>
    </rPh>
    <rPh sb="25" eb="26">
      <t>カマ</t>
    </rPh>
    <rPh sb="32" eb="34">
      <t>カイヘン</t>
    </rPh>
    <rPh sb="35" eb="36">
      <t>オコナ</t>
    </rPh>
    <rPh sb="38" eb="39">
      <t>サイ</t>
    </rPh>
    <rPh sb="44" eb="46">
      <t>コウカイ</t>
    </rPh>
    <rPh sb="48" eb="49">
      <t>サイ</t>
    </rPh>
    <rPh sb="50" eb="51">
      <t>カナラ</t>
    </rPh>
    <rPh sb="53" eb="54">
      <t>ホン</t>
    </rPh>
    <rPh sb="54" eb="55">
      <t>ヒョウ</t>
    </rPh>
    <rPh sb="56" eb="59">
      <t>ハイフモト</t>
    </rPh>
    <rPh sb="61" eb="62">
      <t>コト</t>
    </rPh>
    <rPh sb="64" eb="66">
      <t>ケイサン</t>
    </rPh>
    <rPh sb="67" eb="68">
      <t>オコナ</t>
    </rPh>
    <rPh sb="77" eb="79">
      <t>チュウイ</t>
    </rPh>
    <rPh sb="79" eb="80">
      <t>ブン</t>
    </rPh>
    <rPh sb="81" eb="83">
      <t>キニュウ</t>
    </rPh>
    <phoneticPr fontId="100"/>
  </si>
  <si>
    <t>表に関する注意事項</t>
    <rPh sb="0" eb="1">
      <t>ヒョウ</t>
    </rPh>
    <rPh sb="2" eb="3">
      <t>カン</t>
    </rPh>
    <rPh sb="5" eb="7">
      <t>チュウイ</t>
    </rPh>
    <rPh sb="7" eb="9">
      <t>ジコウ</t>
    </rPh>
    <phoneticPr fontId="100"/>
  </si>
  <si>
    <t>本表は「ヌルヌル値計測」「ミリバル計測」「硫黄型・硫化水素型の特定」などを目的とした成分表の分析表となります。商用目的としての利用を目的としていません。</t>
    <rPh sb="0" eb="1">
      <t>ホン</t>
    </rPh>
    <rPh sb="1" eb="2">
      <t>ヒョウ</t>
    </rPh>
    <rPh sb="8" eb="9">
      <t>チ</t>
    </rPh>
    <rPh sb="9" eb="11">
      <t>ケイソク</t>
    </rPh>
    <rPh sb="17" eb="19">
      <t>ケイソク</t>
    </rPh>
    <rPh sb="21" eb="23">
      <t>イオウ</t>
    </rPh>
    <rPh sb="23" eb="24">
      <t>ガタ</t>
    </rPh>
    <rPh sb="25" eb="27">
      <t>リュウカ</t>
    </rPh>
    <rPh sb="27" eb="29">
      <t>スイソ</t>
    </rPh>
    <rPh sb="29" eb="30">
      <t>ガタ</t>
    </rPh>
    <rPh sb="31" eb="33">
      <t>トクテイ</t>
    </rPh>
    <rPh sb="37" eb="39">
      <t>モクテキ</t>
    </rPh>
    <rPh sb="42" eb="44">
      <t>セイブン</t>
    </rPh>
    <rPh sb="46" eb="49">
      <t>ブンセキヒョウ</t>
    </rPh>
    <rPh sb="55" eb="57">
      <t>ショウヨウ</t>
    </rPh>
    <rPh sb="57" eb="59">
      <t>モクテキ</t>
    </rPh>
    <rPh sb="63" eb="65">
      <t>リヨウ</t>
    </rPh>
    <rPh sb="66" eb="68">
      <t>モクテキ</t>
    </rPh>
    <phoneticPr fontId="100"/>
  </si>
  <si>
    <t>温泉施設が本表を利用・掲示することは問題ございませんが、本来の『成分分析表』の代わりとはなりませんので、掲示する際は必ず本来の分析会社発行の『成分分析表』も掲示してください。</t>
    <rPh sb="0" eb="2">
      <t>オンセン</t>
    </rPh>
    <rPh sb="2" eb="4">
      <t>シセツ</t>
    </rPh>
    <rPh sb="5" eb="6">
      <t>ホン</t>
    </rPh>
    <rPh sb="6" eb="7">
      <t>ヒョウ</t>
    </rPh>
    <rPh sb="8" eb="10">
      <t>リヨウ</t>
    </rPh>
    <rPh sb="11" eb="13">
      <t>ケイジ</t>
    </rPh>
    <rPh sb="18" eb="20">
      <t>モンダイ</t>
    </rPh>
    <rPh sb="28" eb="30">
      <t>ホンライ</t>
    </rPh>
    <rPh sb="32" eb="34">
      <t>セイブン</t>
    </rPh>
    <rPh sb="34" eb="37">
      <t>ブンセキヒョウ</t>
    </rPh>
    <rPh sb="39" eb="40">
      <t>カ</t>
    </rPh>
    <rPh sb="52" eb="54">
      <t>ケイジ</t>
    </rPh>
    <rPh sb="56" eb="57">
      <t>サイ</t>
    </rPh>
    <rPh sb="58" eb="59">
      <t>カナラ</t>
    </rPh>
    <rPh sb="60" eb="62">
      <t>ホンライ</t>
    </rPh>
    <rPh sb="63" eb="65">
      <t>ブンセキ</t>
    </rPh>
    <rPh sb="65" eb="67">
      <t>ガイシャ</t>
    </rPh>
    <rPh sb="67" eb="69">
      <t>ハッコウ</t>
    </rPh>
    <rPh sb="71" eb="73">
      <t>セイブン</t>
    </rPh>
    <rPh sb="73" eb="75">
      <t>ブンセキ</t>
    </rPh>
    <rPh sb="75" eb="76">
      <t>ヒョウ</t>
    </rPh>
    <rPh sb="78" eb="80">
      <t>ケイジ</t>
    </rPh>
    <phoneticPr fontId="100"/>
  </si>
  <si>
    <t>ミリバル値、ミリバル％は自動的に計算されるため、一部の成分表と極若干ですが誤差が発生する場合があります。基本的には問題ありませんが、19.9％が20.0％表記になると泉質名が変更となるので、その場合は手動で修正を行ってください。</t>
    <rPh sb="4" eb="5">
      <t>チ</t>
    </rPh>
    <rPh sb="12" eb="15">
      <t>ジドウテキ</t>
    </rPh>
    <rPh sb="16" eb="18">
      <t>ケイサン</t>
    </rPh>
    <rPh sb="24" eb="26">
      <t>イチブ</t>
    </rPh>
    <rPh sb="27" eb="30">
      <t>セイブンヒョウ</t>
    </rPh>
    <rPh sb="31" eb="32">
      <t>ゴク</t>
    </rPh>
    <rPh sb="32" eb="34">
      <t>ジャッカン</t>
    </rPh>
    <rPh sb="37" eb="39">
      <t>ゴサ</t>
    </rPh>
    <rPh sb="40" eb="42">
      <t>ハッセイ</t>
    </rPh>
    <rPh sb="44" eb="46">
      <t>バアイ</t>
    </rPh>
    <rPh sb="52" eb="55">
      <t>キホンテキ</t>
    </rPh>
    <rPh sb="57" eb="59">
      <t>モンダイ</t>
    </rPh>
    <rPh sb="77" eb="79">
      <t>ヒョウキ</t>
    </rPh>
    <rPh sb="83" eb="86">
      <t>センシツメイ</t>
    </rPh>
    <rPh sb="87" eb="89">
      <t>ヘンコウ</t>
    </rPh>
    <rPh sb="97" eb="99">
      <t>バアイ</t>
    </rPh>
    <rPh sb="100" eb="102">
      <t>シュドウ</t>
    </rPh>
    <rPh sb="103" eb="105">
      <t>シュウセイ</t>
    </rPh>
    <rPh sb="106" eb="107">
      <t>オコナ</t>
    </rPh>
    <phoneticPr fontId="100"/>
  </si>
  <si>
    <t>本表は『Office2021』で作成し、本ソフトでのみ動作確認をしております。
互換ソフトについては動作保証いたしかねます。</t>
    <rPh sb="0" eb="1">
      <t>ホン</t>
    </rPh>
    <rPh sb="1" eb="2">
      <t>ヒョウ</t>
    </rPh>
    <rPh sb="16" eb="18">
      <t>サクセイ</t>
    </rPh>
    <rPh sb="20" eb="21">
      <t>ホン</t>
    </rPh>
    <rPh sb="27" eb="29">
      <t>ドウサ</t>
    </rPh>
    <rPh sb="29" eb="31">
      <t>カクニン</t>
    </rPh>
    <rPh sb="40" eb="42">
      <t>ゴカン</t>
    </rPh>
    <rPh sb="50" eb="52">
      <t>ドウサ</t>
    </rPh>
    <rPh sb="52" eb="54">
      <t>ホショウ</t>
    </rPh>
    <phoneticPr fontId="100"/>
  </si>
  <si>
    <t>加水・加温を『一部有』にした場合、ヌルヌル値の計算では『なし』と同じ動作となります。
どちらも調べたい場合は『有／なし』を切り替えるか、『補正する』ボタンを『補正しない』に切り替えてご利用ください。</t>
    <rPh sb="0" eb="2">
      <t>カスイ</t>
    </rPh>
    <rPh sb="3" eb="5">
      <t>カオン</t>
    </rPh>
    <rPh sb="7" eb="9">
      <t>イチブ</t>
    </rPh>
    <rPh sb="9" eb="10">
      <t>アリ</t>
    </rPh>
    <rPh sb="14" eb="16">
      <t>バアイ</t>
    </rPh>
    <rPh sb="21" eb="22">
      <t>チ</t>
    </rPh>
    <rPh sb="23" eb="25">
      <t>ケイサン</t>
    </rPh>
    <rPh sb="32" eb="33">
      <t>オナ</t>
    </rPh>
    <rPh sb="34" eb="36">
      <t>ドウサ</t>
    </rPh>
    <rPh sb="47" eb="48">
      <t>シラ</t>
    </rPh>
    <rPh sb="51" eb="53">
      <t>バアイ</t>
    </rPh>
    <rPh sb="55" eb="56">
      <t>アリ</t>
    </rPh>
    <rPh sb="61" eb="62">
      <t>キ</t>
    </rPh>
    <rPh sb="63" eb="64">
      <t>カ</t>
    </rPh>
    <rPh sb="69" eb="71">
      <t>ホセイ</t>
    </rPh>
    <rPh sb="79" eb="81">
      <t>ホセイ</t>
    </rPh>
    <rPh sb="86" eb="87">
      <t>キ</t>
    </rPh>
    <rPh sb="88" eb="89">
      <t>カ</t>
    </rPh>
    <rPh sb="92" eb="94">
      <t>リヨウ</t>
    </rPh>
    <phoneticPr fontId="100"/>
  </si>
  <si>
    <t>打ち込む必要がない部分にはロックをしています。
何かしら直接変更が必要な場合は「シートの解除」を行ってください。（パスは未設定です）</t>
    <rPh sb="0" eb="1">
      <t>ウ</t>
    </rPh>
    <rPh sb="2" eb="3">
      <t>コ</t>
    </rPh>
    <rPh sb="4" eb="6">
      <t>ヒツヨウ</t>
    </rPh>
    <rPh sb="9" eb="11">
      <t>ブブン</t>
    </rPh>
    <rPh sb="24" eb="25">
      <t>ナニ</t>
    </rPh>
    <rPh sb="28" eb="30">
      <t>チョクセツ</t>
    </rPh>
    <rPh sb="30" eb="32">
      <t>ヘンコウ</t>
    </rPh>
    <rPh sb="33" eb="35">
      <t>ヒツヨウ</t>
    </rPh>
    <rPh sb="36" eb="38">
      <t>バアイ</t>
    </rPh>
    <rPh sb="44" eb="46">
      <t>カイジョ</t>
    </rPh>
    <rPh sb="48" eb="49">
      <t>オコナ</t>
    </rPh>
    <rPh sb="60" eb="63">
      <t>ミセッテイ</t>
    </rPh>
    <phoneticPr fontId="100"/>
  </si>
  <si>
    <t>本表、及び本表の結果データ（ヌルヌル値）については当方（東北名湯ちゃんねる）が著作権を有します。
自分でデータを入力した場合でも、本表、及び結果データ自体の著作権を有することは出来ません。</t>
    <rPh sb="0" eb="1">
      <t>ホン</t>
    </rPh>
    <rPh sb="1" eb="2">
      <t>ヒョウ</t>
    </rPh>
    <rPh sb="3" eb="4">
      <t>オヨ</t>
    </rPh>
    <rPh sb="5" eb="6">
      <t>ホン</t>
    </rPh>
    <rPh sb="6" eb="7">
      <t>ヒョウ</t>
    </rPh>
    <rPh sb="8" eb="10">
      <t>ケッカ</t>
    </rPh>
    <rPh sb="18" eb="19">
      <t>チ</t>
    </rPh>
    <rPh sb="25" eb="27">
      <t>トウホウ</t>
    </rPh>
    <rPh sb="28" eb="32">
      <t>トウホクメイトウ</t>
    </rPh>
    <rPh sb="39" eb="42">
      <t>チョサクケン</t>
    </rPh>
    <rPh sb="43" eb="44">
      <t>ユウ</t>
    </rPh>
    <rPh sb="49" eb="51">
      <t>ジブン</t>
    </rPh>
    <rPh sb="56" eb="58">
      <t>ニュウリョク</t>
    </rPh>
    <rPh sb="60" eb="62">
      <t>バアイ</t>
    </rPh>
    <rPh sb="65" eb="66">
      <t>ホン</t>
    </rPh>
    <rPh sb="66" eb="67">
      <t>ヒョウ</t>
    </rPh>
    <rPh sb="68" eb="69">
      <t>オヨ</t>
    </rPh>
    <rPh sb="70" eb="72">
      <t>ケッカ</t>
    </rPh>
    <rPh sb="75" eb="77">
      <t>ジタイ</t>
    </rPh>
    <rPh sb="78" eb="81">
      <t>チョサクケン</t>
    </rPh>
    <rPh sb="82" eb="83">
      <t>ユウ</t>
    </rPh>
    <rPh sb="88" eb="90">
      <t>デキ</t>
    </rPh>
    <phoneticPr fontId="100"/>
  </si>
  <si>
    <t>Vor.3.13</t>
    <phoneticPr fontId="100"/>
  </si>
  <si>
    <t>ヌルヌル値</t>
    <rPh sb="4" eb="5">
      <t>チ</t>
    </rPh>
    <phoneticPr fontId="100"/>
  </si>
  <si>
    <r>
      <t xml:space="preserve">本表をスクリーンショットや、コピーして貼り付けしたもの(JPGやPNG化したもの)を利用することは出来ます。
Excelの場合は範囲選択・コピー後に、ペイントソフトなどに貼り付けすることでJPGなどに変換可能です。
</t>
    </r>
    <r>
      <rPr>
        <b/>
        <sz val="12"/>
        <color theme="1"/>
        <rFont val="BIZ UDPゴシック"/>
        <family val="3"/>
        <charset val="128"/>
      </rPr>
      <t xml:space="preserve">その際は「東北名湯ちゃんねる」「東北名湯チャンネル」「onsen-ch.com」のいずれかの著作権表記をお願いいたします。
</t>
    </r>
    <r>
      <rPr>
        <sz val="12"/>
        <color theme="1"/>
        <rFont val="BIZ UDPゴシック"/>
        <family val="3"/>
        <charset val="128"/>
      </rPr>
      <t>なお、著作権表示の際は利用時の連絡は任意です。</t>
    </r>
    <rPh sb="0" eb="1">
      <t>ホン</t>
    </rPh>
    <rPh sb="1" eb="2">
      <t>ヒョウ</t>
    </rPh>
    <rPh sb="19" eb="20">
      <t>ハ</t>
    </rPh>
    <rPh sb="21" eb="22">
      <t>ツ</t>
    </rPh>
    <rPh sb="35" eb="36">
      <t>カ</t>
    </rPh>
    <rPh sb="42" eb="44">
      <t>リヨウ</t>
    </rPh>
    <rPh sb="49" eb="51">
      <t>デキ</t>
    </rPh>
    <rPh sb="61" eb="63">
      <t>バアイ</t>
    </rPh>
    <rPh sb="64" eb="66">
      <t>ハンイ</t>
    </rPh>
    <rPh sb="66" eb="68">
      <t>センタク</t>
    </rPh>
    <rPh sb="72" eb="73">
      <t>ゴ</t>
    </rPh>
    <rPh sb="85" eb="86">
      <t>ハ</t>
    </rPh>
    <rPh sb="87" eb="88">
      <t>ツ</t>
    </rPh>
    <rPh sb="100" eb="102">
      <t>ヘンカン</t>
    </rPh>
    <rPh sb="102" eb="104">
      <t>カノウ</t>
    </rPh>
    <rPh sb="111" eb="112">
      <t>サイ</t>
    </rPh>
    <rPh sb="155" eb="158">
      <t>チョサクケン</t>
    </rPh>
    <rPh sb="158" eb="160">
      <t>ヒョウキ</t>
    </rPh>
    <rPh sb="162" eb="163">
      <t>ネガ</t>
    </rPh>
    <rPh sb="174" eb="177">
      <t>チョサクケン</t>
    </rPh>
    <rPh sb="177" eb="179">
      <t>ヒョウジ</t>
    </rPh>
    <rPh sb="180" eb="181">
      <t>サイ</t>
    </rPh>
    <rPh sb="182" eb="185">
      <t>リヨウジ</t>
    </rPh>
    <rPh sb="186" eb="188">
      <t>レンラク</t>
    </rPh>
    <rPh sb="189" eb="191">
      <t>ニンイ</t>
    </rPh>
    <phoneticPr fontId="100"/>
  </si>
  <si>
    <r>
      <t xml:space="preserve">要約すると、
</t>
    </r>
    <r>
      <rPr>
        <b/>
        <sz val="14"/>
        <color theme="1"/>
        <rFont val="BIZ UDPゴシック"/>
        <family val="3"/>
        <charset val="128"/>
      </rPr>
      <t>Excel自体の再配布はダメ！　Excelの画面をスクショするのはOK！
企業や動画広告などで利益がある人が利用する場合は文章・画像問わず、必ず著作権を記入すること。
著作権を入れるのが無理な場合は利用料を払うこと！　ということです。</t>
    </r>
    <rPh sb="0" eb="2">
      <t>ヨウヤク</t>
    </rPh>
    <rPh sb="12" eb="14">
      <t>ジタイ</t>
    </rPh>
    <rPh sb="15" eb="18">
      <t>サイハイフ</t>
    </rPh>
    <rPh sb="29" eb="31">
      <t>ガメン</t>
    </rPh>
    <rPh sb="44" eb="46">
      <t>キギョウ</t>
    </rPh>
    <rPh sb="47" eb="49">
      <t>ドウガ</t>
    </rPh>
    <rPh sb="49" eb="51">
      <t>コウコク</t>
    </rPh>
    <rPh sb="54" eb="56">
      <t>リエキ</t>
    </rPh>
    <rPh sb="59" eb="60">
      <t>ヒト</t>
    </rPh>
    <rPh sb="61" eb="63">
      <t>リヨウ</t>
    </rPh>
    <rPh sb="65" eb="67">
      <t>バアイ</t>
    </rPh>
    <rPh sb="68" eb="70">
      <t>ブンショウ</t>
    </rPh>
    <rPh sb="71" eb="73">
      <t>ガゾウ</t>
    </rPh>
    <rPh sb="73" eb="74">
      <t>ト</t>
    </rPh>
    <rPh sb="77" eb="78">
      <t>カナラ</t>
    </rPh>
    <rPh sb="79" eb="82">
      <t>チョサクケン</t>
    </rPh>
    <rPh sb="83" eb="85">
      <t>キニュウ</t>
    </rPh>
    <rPh sb="91" eb="94">
      <t>チョサクケン</t>
    </rPh>
    <rPh sb="95" eb="96">
      <t>イ</t>
    </rPh>
    <rPh sb="100" eb="102">
      <t>ムリ</t>
    </rPh>
    <rPh sb="103" eb="105">
      <t>バアイ</t>
    </rPh>
    <rPh sb="106" eb="109">
      <t>リヨウリョウ</t>
    </rPh>
    <rPh sb="110" eb="111">
      <t>ハラ</t>
    </rPh>
    <phoneticPr fontId="100"/>
  </si>
  <si>
    <r>
      <t xml:space="preserve">① 企業、及び企業向けのブログ、ニュースなどに提供する個人(収益を得る者)、或いは収益化している動画配信者が、
② 当著作権物を「著作権」または「引用元」を記載せずに、
③ 当Excel、及び、当Excelで計算した結果を利用した際
</t>
    </r>
    <r>
      <rPr>
        <b/>
        <sz val="12"/>
        <color theme="1"/>
        <rFont val="BIZ UDPゴシック"/>
        <family val="3"/>
        <charset val="128"/>
      </rPr>
      <t xml:space="preserve">上記①②③を全て満たした場合のみ、利用料が発生いたします。
</t>
    </r>
    <r>
      <rPr>
        <sz val="12"/>
        <color theme="1"/>
        <rFont val="BIZ UDPゴシック"/>
        <family val="3"/>
        <charset val="128"/>
      </rPr>
      <t xml:space="preserve">基本的には私的利用は全く問題ありませんし、スクリーンショットで投稿する場合なども問題ありません。
</t>
    </r>
    <r>
      <rPr>
        <b/>
        <sz val="12"/>
        <color theme="1"/>
        <rFont val="BIZ UDPゴシック"/>
        <family val="3"/>
        <charset val="128"/>
      </rPr>
      <t xml:space="preserve">企業や動画で利用する際は著作元を表記すればご利用頂けます。
</t>
    </r>
    <r>
      <rPr>
        <sz val="12"/>
        <color theme="1"/>
        <rFont val="BIZ UDPゴシック"/>
        <family val="3"/>
        <charset val="128"/>
      </rPr>
      <t>Excel自体の再配布だけは個人・企業ともに禁止となります。</t>
    </r>
    <rPh sb="2" eb="4">
      <t>キギョウ</t>
    </rPh>
    <rPh sb="5" eb="6">
      <t>オヨ</t>
    </rPh>
    <rPh sb="7" eb="9">
      <t>キギョウ</t>
    </rPh>
    <rPh sb="9" eb="10">
      <t>ム</t>
    </rPh>
    <rPh sb="23" eb="25">
      <t>テイキョウ</t>
    </rPh>
    <rPh sb="27" eb="29">
      <t>コジン</t>
    </rPh>
    <rPh sb="30" eb="32">
      <t>シュウエキ</t>
    </rPh>
    <rPh sb="33" eb="34">
      <t>エ</t>
    </rPh>
    <rPh sb="35" eb="36">
      <t>モノ</t>
    </rPh>
    <rPh sb="38" eb="39">
      <t>アル</t>
    </rPh>
    <rPh sb="41" eb="44">
      <t>シュウエキカ</t>
    </rPh>
    <rPh sb="48" eb="50">
      <t>ドウガ</t>
    </rPh>
    <rPh sb="50" eb="53">
      <t>ハイシンシャ</t>
    </rPh>
    <rPh sb="58" eb="59">
      <t>トウ</t>
    </rPh>
    <rPh sb="59" eb="62">
      <t>チョサクケン</t>
    </rPh>
    <rPh sb="62" eb="63">
      <t>ブツ</t>
    </rPh>
    <rPh sb="65" eb="68">
      <t>チョサクケン</t>
    </rPh>
    <rPh sb="73" eb="75">
      <t>インヨウ</t>
    </rPh>
    <rPh sb="75" eb="76">
      <t>モト</t>
    </rPh>
    <rPh sb="78" eb="80">
      <t>キサイ</t>
    </rPh>
    <rPh sb="87" eb="88">
      <t>トウ</t>
    </rPh>
    <rPh sb="94" eb="95">
      <t>オヨ</t>
    </rPh>
    <rPh sb="97" eb="98">
      <t>トウ</t>
    </rPh>
    <rPh sb="104" eb="106">
      <t>ケイサン</t>
    </rPh>
    <rPh sb="108" eb="110">
      <t>ケッカ</t>
    </rPh>
    <rPh sb="111" eb="113">
      <t>リヨウ</t>
    </rPh>
    <rPh sb="115" eb="116">
      <t>サイ</t>
    </rPh>
    <rPh sb="135" eb="138">
      <t>リヨウリョウ</t>
    </rPh>
    <rPh sb="139" eb="141">
      <t>ハッセイ</t>
    </rPh>
    <rPh sb="148" eb="151">
      <t>キホンテキ</t>
    </rPh>
    <rPh sb="153" eb="155">
      <t>シテキ</t>
    </rPh>
    <rPh sb="155" eb="157">
      <t>リヨウ</t>
    </rPh>
    <rPh sb="158" eb="159">
      <t>マッタ</t>
    </rPh>
    <rPh sb="160" eb="162">
      <t>モンダイ</t>
    </rPh>
    <rPh sb="179" eb="181">
      <t>トウコウ</t>
    </rPh>
    <rPh sb="183" eb="185">
      <t>バアイ</t>
    </rPh>
    <rPh sb="188" eb="190">
      <t>モンダイ</t>
    </rPh>
    <rPh sb="197" eb="199">
      <t>キギョウ</t>
    </rPh>
    <rPh sb="200" eb="202">
      <t>ドウガ</t>
    </rPh>
    <rPh sb="203" eb="205">
      <t>リヨウ</t>
    </rPh>
    <rPh sb="207" eb="208">
      <t>サイ</t>
    </rPh>
    <rPh sb="209" eb="211">
      <t>チョサク</t>
    </rPh>
    <rPh sb="211" eb="212">
      <t>モト</t>
    </rPh>
    <rPh sb="213" eb="215">
      <t>ヒョウキ</t>
    </rPh>
    <rPh sb="219" eb="221">
      <t>リヨウ</t>
    </rPh>
    <rPh sb="221" eb="222">
      <t>イタダ</t>
    </rPh>
    <rPh sb="232" eb="234">
      <t>ジタイ</t>
    </rPh>
    <rPh sb="235" eb="238">
      <t>サイハイフ</t>
    </rPh>
    <rPh sb="241" eb="243">
      <t>コジン</t>
    </rPh>
    <rPh sb="244" eb="246">
      <t>キギョウ</t>
    </rPh>
    <rPh sb="249" eb="251">
      <t>キンシ</t>
    </rPh>
    <phoneticPr fontId="100"/>
  </si>
  <si>
    <t>本表は原則『無料』で利用することが出来ます。</t>
    <rPh sb="0" eb="1">
      <t>ホン</t>
    </rPh>
    <rPh sb="1" eb="2">
      <t>ヒョウ</t>
    </rPh>
    <rPh sb="3" eb="5">
      <t>ゲンソク</t>
    </rPh>
    <rPh sb="6" eb="8">
      <t>ムリョウ</t>
    </rPh>
    <rPh sb="10" eb="12">
      <t>リヨウ</t>
    </rPh>
    <rPh sb="17" eb="19">
      <t>デキ</t>
    </rPh>
    <phoneticPr fontId="100"/>
  </si>
  <si>
    <t>互換ソフトの動作確認については、『説明』に挿入されている『緑セル』を全て、『v3.13 成分表』に入れてみてください。
ヌルヌル値が同じ『13.07457』になっていれば正しく計算されています。（加水・加温・温度・pHも忘れずに入力してください）</t>
    <rPh sb="0" eb="2">
      <t>ゴカン</t>
    </rPh>
    <rPh sb="6" eb="8">
      <t>ドウサ</t>
    </rPh>
    <rPh sb="8" eb="10">
      <t>カクニン</t>
    </rPh>
    <rPh sb="17" eb="19">
      <t>セツメイ</t>
    </rPh>
    <rPh sb="21" eb="23">
      <t>ソウニュウ</t>
    </rPh>
    <rPh sb="29" eb="30">
      <t>ミドリ</t>
    </rPh>
    <rPh sb="34" eb="35">
      <t>スベ</t>
    </rPh>
    <rPh sb="49" eb="50">
      <t>イ</t>
    </rPh>
    <rPh sb="64" eb="65">
      <t>チ</t>
    </rPh>
    <rPh sb="66" eb="67">
      <t>オナ</t>
    </rPh>
    <rPh sb="85" eb="86">
      <t>タダ</t>
    </rPh>
    <rPh sb="88" eb="90">
      <t>ケイサン</t>
    </rPh>
    <rPh sb="98" eb="100">
      <t>カスイ</t>
    </rPh>
    <rPh sb="101" eb="103">
      <t>カオン</t>
    </rPh>
    <rPh sb="104" eb="106">
      <t>オンド</t>
    </rPh>
    <rPh sb="110" eb="111">
      <t>ワス</t>
    </rPh>
    <rPh sb="114" eb="116">
      <t>ニュウリョク</t>
    </rPh>
    <phoneticPr fontId="100"/>
  </si>
  <si>
    <r>
      <t>本表、及び、本表を用いた計算結果を商用利用する際で『東北名湯ちゃんねる』などの著作権表記が出来ない場合は予め管理人の了承を得て、別途使用料を支払うものとします。
但し、</t>
    </r>
    <r>
      <rPr>
        <b/>
        <sz val="12"/>
        <color theme="1"/>
        <rFont val="BIZ UDPゴシック"/>
        <family val="3"/>
        <charset val="128"/>
      </rPr>
      <t>温泉施設が自社源泉や同郷の源泉、その他比較などの目的で利用する際は商用目的だとしても一切の了承・使用料は不要です。</t>
    </r>
    <rPh sb="0" eb="1">
      <t>ホン</t>
    </rPh>
    <rPh sb="1" eb="2">
      <t>ヒョウ</t>
    </rPh>
    <rPh sb="3" eb="4">
      <t>オヨ</t>
    </rPh>
    <rPh sb="6" eb="7">
      <t>ホン</t>
    </rPh>
    <rPh sb="7" eb="8">
      <t>ヒョウ</t>
    </rPh>
    <rPh sb="9" eb="10">
      <t>モチ</t>
    </rPh>
    <rPh sb="12" eb="14">
      <t>リヨウ</t>
    </rPh>
    <rPh sb="14" eb="16">
      <t>キヤク</t>
    </rPh>
    <rPh sb="18" eb="19">
      <t>タダ</t>
    </rPh>
    <rPh sb="21" eb="23">
      <t>オンセン</t>
    </rPh>
    <rPh sb="23" eb="25">
      <t>シセツ</t>
    </rPh>
    <rPh sb="26" eb="28">
      <t>ジシャ</t>
    </rPh>
    <rPh sb="28" eb="30">
      <t>ゲンセン</t>
    </rPh>
    <rPh sb="31" eb="33">
      <t>ドウキョウ</t>
    </rPh>
    <rPh sb="34" eb="36">
      <t>ゲンセン</t>
    </rPh>
    <rPh sb="39" eb="40">
      <t>タ</t>
    </rPh>
    <rPh sb="40" eb="42">
      <t>ヒカク</t>
    </rPh>
    <rPh sb="45" eb="47">
      <t>モクテキ</t>
    </rPh>
    <rPh sb="48" eb="50">
      <t>リヨウ</t>
    </rPh>
    <rPh sb="52" eb="53">
      <t>サイ</t>
    </rPh>
    <rPh sb="54" eb="56">
      <t>ショウヨウ</t>
    </rPh>
    <rPh sb="56" eb="58">
      <t>モクテキ</t>
    </rPh>
    <rPh sb="63" eb="65">
      <t>イッサイ</t>
    </rPh>
    <rPh sb="66" eb="68">
      <t>リョウショウ</t>
    </rPh>
    <rPh sb="69" eb="72">
      <t>シヨウリョウ</t>
    </rPh>
    <rPh sb="73" eb="75">
      <t>フヨウ</t>
    </rPh>
    <phoneticPr fontId="100"/>
  </si>
  <si>
    <t>イオン名の隣に記載された赤い数値は『基準値』です。
その基準値を超えた場合は、『特殊成分』として泉質名に加わることになります。
但し、メタケイ酸とメタホウ酸に関しては『特殊成分』ではなく、基準値となっており、この数値を超えた場合は効能が認められる、という数値となります。</t>
    <rPh sb="3" eb="4">
      <t>メイ</t>
    </rPh>
    <rPh sb="5" eb="6">
      <t>トナリ</t>
    </rPh>
    <rPh sb="7" eb="9">
      <t>キサイ</t>
    </rPh>
    <rPh sb="12" eb="13">
      <t>アカ</t>
    </rPh>
    <rPh sb="14" eb="16">
      <t>スウチ</t>
    </rPh>
    <rPh sb="18" eb="21">
      <t>キジュンチ</t>
    </rPh>
    <rPh sb="28" eb="31">
      <t>キジュンチ</t>
    </rPh>
    <rPh sb="32" eb="33">
      <t>コ</t>
    </rPh>
    <rPh sb="35" eb="37">
      <t>バアイ</t>
    </rPh>
    <rPh sb="40" eb="42">
      <t>トクシュ</t>
    </rPh>
    <rPh sb="42" eb="44">
      <t>セイブン</t>
    </rPh>
    <rPh sb="48" eb="51">
      <t>センシツメイ</t>
    </rPh>
    <rPh sb="52" eb="53">
      <t>クワ</t>
    </rPh>
    <rPh sb="64" eb="65">
      <t>タダ</t>
    </rPh>
    <rPh sb="71" eb="72">
      <t>サン</t>
    </rPh>
    <rPh sb="77" eb="78">
      <t>サン</t>
    </rPh>
    <rPh sb="79" eb="80">
      <t>カン</t>
    </rPh>
    <rPh sb="84" eb="86">
      <t>トクシュ</t>
    </rPh>
    <rPh sb="86" eb="88">
      <t>セイブン</t>
    </rPh>
    <rPh sb="94" eb="97">
      <t>キジュンチ</t>
    </rPh>
    <rPh sb="106" eb="108">
      <t>スウチ</t>
    </rPh>
    <rPh sb="109" eb="110">
      <t>コ</t>
    </rPh>
    <rPh sb="112" eb="114">
      <t>バアイ</t>
    </rPh>
    <rPh sb="115" eb="117">
      <t>コウノウ</t>
    </rPh>
    <rPh sb="118" eb="119">
      <t>ミト</t>
    </rPh>
    <rPh sb="127" eb="129">
      <t>スウチ</t>
    </rPh>
    <phoneticPr fontId="100"/>
  </si>
  <si>
    <t>ver:3.13</t>
    <phoneticPr fontId="100"/>
  </si>
  <si>
    <t>補正する(自動補正)</t>
    <phoneticPr fontId="100"/>
  </si>
  <si>
    <r>
      <t>この色のセルは
計算に必要な数値なので</t>
    </r>
    <r>
      <rPr>
        <b/>
        <sz val="12"/>
        <color rgb="FFC00000"/>
        <rFont val="BIZ UDPゴシック"/>
        <family val="3"/>
        <charset val="128"/>
      </rPr>
      <t>入力必須</t>
    </r>
    <r>
      <rPr>
        <sz val="12"/>
        <color theme="1"/>
        <rFont val="BIZ UDPゴシック"/>
        <family val="3"/>
        <charset val="128"/>
      </rPr>
      <t>です
＜0.1記載の場合は0を入力してください。</t>
    </r>
    <rPh sb="2" eb="3">
      <t>イロ</t>
    </rPh>
    <rPh sb="8" eb="10">
      <t>ケイサン</t>
    </rPh>
    <rPh sb="11" eb="13">
      <t>ヒツヨウ</t>
    </rPh>
    <rPh sb="14" eb="16">
      <t>スウチ</t>
    </rPh>
    <rPh sb="19" eb="21">
      <t>ニュウリョク</t>
    </rPh>
    <rPh sb="21" eb="23">
      <t>ヒッス</t>
    </rPh>
    <rPh sb="31" eb="33">
      <t>キサイ</t>
    </rPh>
    <rPh sb="34" eb="36">
      <t>バアイ</t>
    </rPh>
    <rPh sb="39" eb="41">
      <t>ニュウリョク</t>
    </rPh>
    <phoneticPr fontId="100"/>
  </si>
  <si>
    <r>
      <t>この色のセルは
自動的に計算・入力されるので</t>
    </r>
    <r>
      <rPr>
        <b/>
        <sz val="12"/>
        <color rgb="FFC00000"/>
        <rFont val="BIZ UDPゴシック"/>
        <family val="3"/>
        <charset val="128"/>
      </rPr>
      <t>入力は不要</t>
    </r>
    <r>
      <rPr>
        <sz val="12"/>
        <color theme="1"/>
        <rFont val="BIZ UDPゴシック"/>
        <family val="3"/>
        <charset val="128"/>
      </rPr>
      <t>です</t>
    </r>
    <rPh sb="2" eb="3">
      <t>イロ</t>
    </rPh>
    <rPh sb="8" eb="10">
      <t>ジドウ</t>
    </rPh>
    <rPh sb="10" eb="11">
      <t>テキ</t>
    </rPh>
    <rPh sb="12" eb="14">
      <t>ケイサン</t>
    </rPh>
    <rPh sb="15" eb="17">
      <t>ニュウリョク</t>
    </rPh>
    <rPh sb="22" eb="24">
      <t>ニュウリョク</t>
    </rPh>
    <rPh sb="25" eb="27">
      <t>フヨウ</t>
    </rPh>
    <phoneticPr fontId="100"/>
  </si>
  <si>
    <r>
      <t xml:space="preserve">この色のセルは
入力出来ますが、計算に影響を与えません。
</t>
    </r>
    <r>
      <rPr>
        <b/>
        <sz val="12"/>
        <color rgb="FFC00000"/>
        <rFont val="BIZ UDPゴシック"/>
        <family val="3"/>
        <charset val="128"/>
      </rPr>
      <t>ヌルヌル値だけ調べたい人は入力不要</t>
    </r>
    <r>
      <rPr>
        <b/>
        <sz val="12"/>
        <color theme="1"/>
        <rFont val="BIZ UDPゴシック"/>
        <family val="3"/>
        <charset val="128"/>
      </rPr>
      <t>です</t>
    </r>
    <rPh sb="2" eb="3">
      <t>イロ</t>
    </rPh>
    <rPh sb="8" eb="10">
      <t>ニュウリョク</t>
    </rPh>
    <rPh sb="10" eb="12">
      <t>デキ</t>
    </rPh>
    <rPh sb="16" eb="18">
      <t>ケイサン</t>
    </rPh>
    <rPh sb="19" eb="21">
      <t>エイキョウ</t>
    </rPh>
    <rPh sb="22" eb="23">
      <t>アタ</t>
    </rPh>
    <rPh sb="34" eb="35">
      <t>チ</t>
    </rPh>
    <rPh sb="37" eb="38">
      <t>シラ</t>
    </rPh>
    <rPh sb="41" eb="42">
      <t>ヒト</t>
    </rPh>
    <rPh sb="43" eb="45">
      <t>ニュウリョク</t>
    </rPh>
    <rPh sb="45" eb="47">
      <t>フヨウ</t>
    </rPh>
    <phoneticPr fontId="10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</si>
</sst>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0.0_ "/>
    <numFmt numFmtId="178" formatCode="0.00;\-0.00;0;@"/>
    <numFmt numFmtId="179" formatCode="#,###.##"/>
    <numFmt numFmtId="180" formatCode="0.000_ ;\-0.000\ "/>
    <numFmt numFmtId="181" formatCode="0.000000_);[Red]\(0.000000\)"/>
    <numFmt numFmtId="182" formatCode="0.000000000000"/>
    <numFmt numFmtId="183" formatCode="0.00000000000_);[Red]\(0.00000000000\)"/>
    <numFmt numFmtId="184" formatCode="0.0;\-0.0;0.0;@"/>
    <numFmt numFmtId="185" formatCode="0.0000000_);[Red]\(0.0000000\)"/>
    <numFmt numFmtId="186" formatCode="0.0000"/>
    <numFmt numFmtId="187" formatCode="0.00000"/>
    <numFmt numFmtId="188" formatCode="[&lt;0.1]&quot;&lt;0.1&quot;;[&lt;=1000]0.0;0;"/>
    <numFmt numFmtId="189" formatCode="[&lt;0.1]&quot;&lt; 0.1&quot;;[&lt;=1000]0.0;0;"/>
    <numFmt numFmtId="190" formatCode="0&quot;％&quot;"/>
    <numFmt numFmtId="191" formatCode="0.00000000_ "/>
    <numFmt numFmtId="192" formatCode="[=0]&quot;&lt; 0.1&quot;;[&lt;1000]0.0;0.0"/>
  </numFmts>
  <fonts count="134" x14ac:knownFonts="1">
    <font>
      <sz val="11"/>
      <color theme="1"/>
      <name val="ＭＳ Ｐゴシック"/>
      <charset val="128"/>
      <scheme val="minor"/>
    </font>
    <font>
      <sz val="11"/>
      <color theme="1"/>
      <name val="HG丸ｺﾞｼｯｸM-PRO"/>
      <family val="3"/>
      <charset val="128"/>
    </font>
    <font>
      <sz val="11"/>
      <color rgb="FF000000"/>
      <name val="HG丸ｺﾞｼｯｸM-PRO"/>
      <family val="3"/>
      <charset val="128"/>
    </font>
    <font>
      <b/>
      <sz val="11"/>
      <color rgb="FF000000"/>
      <name val="HG丸ｺﾞｼｯｸM-PRO"/>
      <family val="3"/>
      <charset val="128"/>
    </font>
    <font>
      <sz val="10"/>
      <color rgb="FF000000"/>
      <name val="HG丸ｺﾞｼｯｸM-PRO"/>
      <family val="3"/>
      <charset val="128"/>
    </font>
    <font>
      <b/>
      <sz val="14"/>
      <color rgb="FFFF0000"/>
      <name val="HG丸ｺﾞｼｯｸM-PRO"/>
      <family val="3"/>
      <charset val="128"/>
    </font>
    <font>
      <sz val="12"/>
      <color rgb="FF333333"/>
      <name val="HG丸ｺﾞｼｯｸM-PRO"/>
      <family val="3"/>
      <charset val="128"/>
    </font>
    <font>
      <sz val="11"/>
      <color rgb="FF005696"/>
      <name val="HG丸ｺﾞｼｯｸM-PRO"/>
      <family val="3"/>
      <charset val="128"/>
    </font>
    <font>
      <b/>
      <sz val="11"/>
      <color rgb="FFFA7D00"/>
      <name val="HG丸ｺﾞｼｯｸM-PRO"/>
      <family val="3"/>
      <charset val="128"/>
    </font>
    <font>
      <b/>
      <sz val="8"/>
      <color rgb="FF000000"/>
      <name val="HG丸ｺﾞｼｯｸM-PRO"/>
      <family val="3"/>
      <charset val="128"/>
    </font>
    <font>
      <sz val="9"/>
      <color rgb="FF000000"/>
      <name val="HG丸ｺﾞｼｯｸM-PRO"/>
      <family val="3"/>
      <charset val="128"/>
    </font>
    <font>
      <sz val="30"/>
      <color theme="1"/>
      <name val="HG丸ｺﾞｼｯｸM-PRO"/>
      <family val="3"/>
      <charset val="128"/>
    </font>
    <font>
      <sz val="14"/>
      <color theme="1"/>
      <name val="HG丸ｺﾞｼｯｸM-PRO"/>
      <family val="3"/>
      <charset val="128"/>
    </font>
    <font>
      <b/>
      <sz val="18"/>
      <color theme="1" tint="0.14996795556505021"/>
      <name val="HG丸ｺﾞｼｯｸM-PRO"/>
      <family val="3"/>
      <charset val="128"/>
    </font>
    <font>
      <b/>
      <sz val="30"/>
      <color theme="1"/>
      <name val="HG丸ｺﾞｼｯｸM-PRO"/>
      <family val="3"/>
      <charset val="128"/>
    </font>
    <font>
      <b/>
      <sz val="24"/>
      <color theme="1"/>
      <name val="HG丸ｺﾞｼｯｸM-PRO"/>
      <family val="3"/>
      <charset val="128"/>
    </font>
    <font>
      <b/>
      <sz val="14"/>
      <color theme="1"/>
      <name val="HG丸ｺﾞｼｯｸM-PRO"/>
      <family val="3"/>
      <charset val="128"/>
    </font>
    <font>
      <b/>
      <sz val="20"/>
      <color theme="1"/>
      <name val="HG丸ｺﾞｼｯｸM-PRO"/>
      <family val="3"/>
      <charset val="128"/>
    </font>
    <font>
      <b/>
      <sz val="16"/>
      <color theme="1"/>
      <name val="HG丸ｺﾞｼｯｸM-PRO"/>
      <family val="3"/>
      <charset val="128"/>
    </font>
    <font>
      <b/>
      <sz val="22"/>
      <color theme="1"/>
      <name val="HG丸ｺﾞｼｯｸM-PRO"/>
      <family val="3"/>
      <charset val="128"/>
    </font>
    <font>
      <b/>
      <sz val="12"/>
      <color theme="1" tint="0.14996795556505021"/>
      <name val="HG丸ｺﾞｼｯｸM-PRO"/>
      <family val="3"/>
      <charset val="128"/>
    </font>
    <font>
      <b/>
      <i/>
      <sz val="16"/>
      <color rgb="FF002060"/>
      <name val="HG丸ｺﾞｼｯｸM-PRO"/>
      <family val="3"/>
      <charset val="128"/>
    </font>
    <font>
      <b/>
      <sz val="13"/>
      <color theme="8" tint="-0.499984740745262"/>
      <name val="HG丸ｺﾞｼｯｸM-PRO"/>
      <family val="3"/>
      <charset val="128"/>
    </font>
    <font>
      <b/>
      <sz val="12"/>
      <color theme="1"/>
      <name val="HG丸ｺﾞｼｯｸM-PRO"/>
      <family val="3"/>
      <charset val="128"/>
    </font>
    <font>
      <b/>
      <sz val="18"/>
      <color theme="1"/>
      <name val="HG丸ｺﾞｼｯｸM-PRO"/>
      <family val="3"/>
      <charset val="128"/>
    </font>
    <font>
      <b/>
      <sz val="20"/>
      <color rgb="FF002060"/>
      <name val="HG丸ｺﾞｼｯｸM-PRO"/>
      <family val="3"/>
      <charset val="128"/>
    </font>
    <font>
      <sz val="13"/>
      <color theme="1"/>
      <name val="BIZ UDPゴシック"/>
      <family val="3"/>
      <charset val="128"/>
    </font>
    <font>
      <b/>
      <sz val="14"/>
      <color theme="1"/>
      <name val="BIZ UDPゴシック"/>
      <family val="3"/>
      <charset val="128"/>
    </font>
    <font>
      <b/>
      <sz val="14"/>
      <name val="BIZ UDPゴシック"/>
      <family val="3"/>
      <charset val="128"/>
    </font>
    <font>
      <sz val="12"/>
      <name val="BIZ UDPゴシック"/>
      <family val="3"/>
      <charset val="128"/>
    </font>
    <font>
      <sz val="14"/>
      <color theme="1"/>
      <name val="BIZ UDPゴシック"/>
      <family val="3"/>
      <charset val="128"/>
    </font>
    <font>
      <sz val="12"/>
      <color theme="1"/>
      <name val="BIZ UDPゴシック"/>
      <family val="3"/>
      <charset val="128"/>
    </font>
    <font>
      <b/>
      <sz val="13"/>
      <color theme="1"/>
      <name val="BIZ UDPゴシック"/>
      <family val="3"/>
      <charset val="128"/>
    </font>
    <font>
      <sz val="9"/>
      <color theme="1"/>
      <name val="BIZ UDPゴシック"/>
      <family val="3"/>
      <charset val="128"/>
    </font>
    <font>
      <sz val="48"/>
      <color rgb="FF002060"/>
      <name val="HGS創英角ﾎﾟｯﾌﾟ体"/>
      <family val="3"/>
      <charset val="128"/>
    </font>
    <font>
      <b/>
      <sz val="10"/>
      <color theme="1"/>
      <name val="BIZ UDPゴシック"/>
      <family val="3"/>
      <charset val="128"/>
    </font>
    <font>
      <sz val="11"/>
      <name val="BIZ UDPゴシック"/>
      <family val="3"/>
      <charset val="128"/>
    </font>
    <font>
      <b/>
      <sz val="13"/>
      <name val="BIZ UDPゴシック"/>
      <family val="3"/>
      <charset val="128"/>
    </font>
    <font>
      <sz val="11"/>
      <color theme="1"/>
      <name val="BIZ UDPゴシック"/>
      <family val="3"/>
      <charset val="128"/>
    </font>
    <font>
      <b/>
      <sz val="12"/>
      <color theme="1"/>
      <name val="BIZ UDPゴシック"/>
      <family val="3"/>
      <charset val="128"/>
    </font>
    <font>
      <sz val="10"/>
      <color theme="1"/>
      <name val="BIZ UDPゴシック"/>
      <family val="3"/>
      <charset val="128"/>
    </font>
    <font>
      <b/>
      <u/>
      <sz val="13"/>
      <color theme="1"/>
      <name val="BIZ UDPゴシック"/>
      <family val="3"/>
      <charset val="128"/>
    </font>
    <font>
      <sz val="18"/>
      <color theme="1"/>
      <name val="HG丸ｺﾞｼｯｸM-PRO"/>
      <family val="3"/>
      <charset val="128"/>
    </font>
    <font>
      <sz val="11"/>
      <color rgb="FFFA7D00"/>
      <name val="ＭＳ Ｐゴシック"/>
      <family val="3"/>
      <charset val="128"/>
      <scheme val="minor"/>
    </font>
    <font>
      <sz val="8"/>
      <color rgb="FF000000"/>
      <name val="HG丸ｺﾞｼｯｸM-PRO"/>
      <family val="3"/>
      <charset val="128"/>
    </font>
    <font>
      <b/>
      <sz val="10"/>
      <color rgb="FF000000"/>
      <name val="HG丸ｺﾞｼｯｸM-PRO"/>
      <family val="3"/>
      <charset val="128"/>
    </font>
    <font>
      <sz val="11"/>
      <color rgb="FFFF0000"/>
      <name val="HG丸ｺﾞｼｯｸM-PRO"/>
      <family val="3"/>
      <charset val="128"/>
    </font>
    <font>
      <vertAlign val="subscript"/>
      <sz val="12"/>
      <color theme="1"/>
      <name val="BIZ UDPゴシック"/>
      <family val="3"/>
      <charset val="128"/>
    </font>
    <font>
      <vertAlign val="superscript"/>
      <sz val="12"/>
      <color theme="1"/>
      <name val="BIZ UDPゴシック"/>
      <family val="3"/>
      <charset val="128"/>
    </font>
    <font>
      <vertAlign val="superscript"/>
      <sz val="10"/>
      <color theme="1"/>
      <name val="BIZ UDPゴシック"/>
      <family val="3"/>
      <charset val="128"/>
    </font>
    <font>
      <sz val="11"/>
      <color theme="1"/>
      <name val="ＭＳ Ｐゴシック"/>
      <family val="2"/>
      <scheme val="minor"/>
    </font>
    <font>
      <b/>
      <sz val="13"/>
      <color rgb="FF007635"/>
      <name val="BIZ UDPゴシック"/>
      <family val="3"/>
      <charset val="128"/>
    </font>
    <font>
      <b/>
      <sz val="12"/>
      <name val="BIZ UDPゴシック"/>
      <family val="3"/>
      <charset val="128"/>
    </font>
    <font>
      <b/>
      <sz val="12"/>
      <color theme="4" tint="-0.249977111117893"/>
      <name val="BIZ UDPゴシック"/>
      <family val="3"/>
      <charset val="128"/>
    </font>
    <font>
      <b/>
      <sz val="11"/>
      <name val="BIZ UDPゴシック"/>
      <family val="3"/>
      <charset val="128"/>
    </font>
    <font>
      <sz val="10"/>
      <name val="BIZ UDPゴシック"/>
      <family val="3"/>
      <charset val="128"/>
    </font>
    <font>
      <sz val="11"/>
      <color rgb="FFFF0000"/>
      <name val="BIZ UDPゴシック"/>
      <family val="3"/>
      <charset val="128"/>
    </font>
    <font>
      <sz val="11"/>
      <color rgb="FF007635"/>
      <name val="BIZ UDPゴシック"/>
      <family val="3"/>
      <charset val="128"/>
    </font>
    <font>
      <sz val="11"/>
      <color rgb="FF0070C0"/>
      <name val="BIZ UDPゴシック"/>
      <family val="3"/>
      <charset val="128"/>
    </font>
    <font>
      <b/>
      <sz val="11"/>
      <color theme="1"/>
      <name val="BIZ UDPゴシック"/>
      <family val="3"/>
      <charset val="128"/>
    </font>
    <font>
      <b/>
      <sz val="14"/>
      <color theme="4" tint="-0.249977111117893"/>
      <name val="BIZ UDPゴシック"/>
      <family val="3"/>
      <charset val="128"/>
    </font>
    <font>
      <b/>
      <sz val="11"/>
      <color rgb="FF002060"/>
      <name val="BIZ UDPゴシック"/>
      <family val="3"/>
      <charset val="128"/>
    </font>
    <font>
      <b/>
      <sz val="12"/>
      <color rgb="FF0033CC"/>
      <name val="BIZ UDPゴシック"/>
      <family val="3"/>
      <charset val="128"/>
    </font>
    <font>
      <b/>
      <sz val="11"/>
      <color rgb="FF0033CC"/>
      <name val="BIZ UDPゴシック"/>
      <family val="3"/>
      <charset val="128"/>
    </font>
    <font>
      <sz val="11"/>
      <color rgb="FF0033CC"/>
      <name val="BIZ UDPゴシック"/>
      <family val="3"/>
      <charset val="128"/>
    </font>
    <font>
      <b/>
      <sz val="13"/>
      <color rgb="FF0033CC"/>
      <name val="BIZ UDPゴシック"/>
      <family val="3"/>
      <charset val="128"/>
    </font>
    <font>
      <sz val="10"/>
      <color rgb="FF0033CC"/>
      <name val="BIZ UDPゴシック"/>
      <family val="3"/>
      <charset val="128"/>
    </font>
    <font>
      <sz val="8"/>
      <color theme="1"/>
      <name val="BIZ UDPゴシック"/>
      <family val="3"/>
      <charset val="128"/>
    </font>
    <font>
      <sz val="36"/>
      <color rgb="FF002060"/>
      <name val="HGS創英角ﾎﾟｯﾌﾟ体"/>
      <family val="3"/>
      <charset val="128"/>
    </font>
    <font>
      <b/>
      <sz val="11"/>
      <color rgb="FFFF0000"/>
      <name val="BIZ UDPゴシック"/>
      <family val="3"/>
      <charset val="128"/>
    </font>
    <font>
      <vertAlign val="superscript"/>
      <sz val="11"/>
      <name val="BIZ UDPゴシック"/>
      <family val="3"/>
      <charset val="128"/>
    </font>
    <font>
      <sz val="12"/>
      <color theme="1" tint="0.14996795556505021"/>
      <name val="BIZ UDPゴシック"/>
      <family val="3"/>
      <charset val="128"/>
    </font>
    <font>
      <b/>
      <sz val="12"/>
      <color theme="1" tint="0.14996795556505021"/>
      <name val="BIZ UDPゴシック"/>
      <family val="3"/>
      <charset val="128"/>
    </font>
    <font>
      <sz val="12"/>
      <color theme="1"/>
      <name val="HG丸ｺﾞｼｯｸM-PRO"/>
      <family val="3"/>
      <charset val="128"/>
    </font>
    <font>
      <sz val="13"/>
      <color theme="1"/>
      <name val="HG丸ｺﾞｼｯｸM-PRO"/>
      <family val="3"/>
      <charset val="128"/>
    </font>
    <font>
      <sz val="18"/>
      <color theme="1" tint="0.14996795556505021"/>
      <name val="BIZ UDPゴシック"/>
      <family val="3"/>
      <charset val="128"/>
    </font>
    <font>
      <b/>
      <sz val="18"/>
      <color theme="4" tint="-0.249977111117893"/>
      <name val="BIZ UDPゴシック"/>
      <family val="3"/>
      <charset val="128"/>
    </font>
    <font>
      <b/>
      <sz val="16"/>
      <color theme="4" tint="-0.249977111117893"/>
      <name val="BIZ UDPゴシック"/>
      <family val="3"/>
      <charset val="128"/>
    </font>
    <font>
      <sz val="18"/>
      <color rgb="FFEC6262"/>
      <name val="HGS創英角ﾎﾟｯﾌﾟ体"/>
      <family val="3"/>
      <charset val="128"/>
    </font>
    <font>
      <b/>
      <sz val="11"/>
      <color rgb="FF000000"/>
      <name val="BIZ UDPゴシック"/>
      <family val="3"/>
      <charset val="128"/>
    </font>
    <font>
      <sz val="11"/>
      <color rgb="FF000000"/>
      <name val="BIZ UDPゴシック"/>
      <family val="3"/>
      <charset val="128"/>
    </font>
    <font>
      <sz val="10"/>
      <color rgb="FF000000"/>
      <name val="BIZ UDPゴシック"/>
      <family val="3"/>
      <charset val="128"/>
    </font>
    <font>
      <sz val="9"/>
      <color rgb="FF000000"/>
      <name val="BIZ UDPゴシック"/>
      <family val="3"/>
      <charset val="128"/>
    </font>
    <font>
      <sz val="8"/>
      <color rgb="FF000000"/>
      <name val="BIZ UDPゴシック"/>
      <family val="3"/>
      <charset val="128"/>
    </font>
    <font>
      <sz val="11"/>
      <color theme="1" tint="0.499984740745262"/>
      <name val="BIZ UDPゴシック"/>
      <family val="3"/>
      <charset val="128"/>
    </font>
    <font>
      <b/>
      <sz val="11"/>
      <color theme="0"/>
      <name val="BIZ UDPゴシック"/>
      <family val="3"/>
      <charset val="128"/>
    </font>
    <font>
      <sz val="11"/>
      <color theme="0"/>
      <name val="BIZ UDPゴシック"/>
      <family val="3"/>
      <charset val="128"/>
    </font>
    <font>
      <sz val="14"/>
      <name val="BIZ UDPゴシック"/>
      <family val="3"/>
      <charset val="128"/>
    </font>
    <font>
      <sz val="14"/>
      <color rgb="FF002060"/>
      <name val="BIZ UDPゴシック"/>
      <family val="3"/>
      <charset val="128"/>
    </font>
    <font>
      <sz val="18"/>
      <color theme="0"/>
      <name val="BIZ UDPゴシック"/>
      <family val="3"/>
      <charset val="128"/>
    </font>
    <font>
      <sz val="11"/>
      <name val="HG丸ｺﾞｼｯｸM-PRO"/>
      <family val="3"/>
      <charset val="128"/>
    </font>
    <font>
      <sz val="12"/>
      <name val="HG丸ｺﾞｼｯｸM-PRO"/>
      <family val="3"/>
      <charset val="128"/>
    </font>
    <font>
      <b/>
      <sz val="12"/>
      <color rgb="FF002060"/>
      <name val="HG丸ｺﾞｼｯｸM-PRO"/>
      <family val="3"/>
      <charset val="128"/>
    </font>
    <font>
      <b/>
      <sz val="16"/>
      <color theme="1"/>
      <name val="BIZ UDPゴシック"/>
      <family val="3"/>
      <charset val="128"/>
    </font>
    <font>
      <sz val="11"/>
      <color theme="1"/>
      <name val="ＭＳ Ｐゴシック"/>
      <family val="2"/>
      <scheme val="minor"/>
    </font>
    <font>
      <sz val="12.5"/>
      <color theme="1"/>
      <name val="BIZ UDPゴシック"/>
      <family val="3"/>
      <charset val="128"/>
    </font>
    <font>
      <sz val="11"/>
      <name val="HGPｺﾞｼｯｸM"/>
      <family val="3"/>
      <charset val="128"/>
    </font>
    <font>
      <vertAlign val="superscript"/>
      <sz val="12"/>
      <name val="BIZ UDPゴシック"/>
      <family val="3"/>
      <charset val="128"/>
    </font>
    <font>
      <vertAlign val="subscript"/>
      <sz val="11"/>
      <color theme="1"/>
      <name val="BIZ UDPゴシック"/>
      <family val="3"/>
      <charset val="128"/>
    </font>
    <font>
      <vertAlign val="superscript"/>
      <sz val="11"/>
      <color theme="1"/>
      <name val="BIZ UDPゴシック"/>
      <family val="3"/>
      <charset val="128"/>
    </font>
    <font>
      <sz val="6"/>
      <name val="ＭＳ Ｐゴシック"/>
      <family val="3"/>
      <charset val="128"/>
      <scheme val="minor"/>
    </font>
    <font>
      <b/>
      <sz val="12"/>
      <color rgb="FF002060"/>
      <name val="BIZ UDPゴシック"/>
      <family val="3"/>
      <charset val="128"/>
    </font>
    <font>
      <b/>
      <u/>
      <sz val="16"/>
      <color theme="8" tint="-0.249977111117893"/>
      <name val="BIZ UDPゴシック"/>
      <family val="3"/>
      <charset val="128"/>
    </font>
    <font>
      <b/>
      <sz val="8"/>
      <color rgb="FF0033CC"/>
      <name val="BIZ UDPゴシック"/>
      <family val="3"/>
      <charset val="128"/>
    </font>
    <font>
      <sz val="48"/>
      <color theme="1"/>
      <name val="BIZ UDPゴシック"/>
      <family val="3"/>
      <charset val="128"/>
    </font>
    <font>
      <sz val="11"/>
      <color rgb="FF002060"/>
      <name val="HGPｺﾞｼｯｸM"/>
      <family val="3"/>
      <charset val="128"/>
    </font>
    <font>
      <sz val="12"/>
      <color indexed="81"/>
      <name val="BIZ UDPゴシック"/>
      <family val="3"/>
      <charset val="128"/>
    </font>
    <font>
      <vertAlign val="subscript"/>
      <sz val="10"/>
      <color theme="1"/>
      <name val="BIZ UDPゴシック"/>
      <family val="3"/>
      <charset val="128"/>
    </font>
    <font>
      <sz val="13"/>
      <name val="BIZ UDPゴシック"/>
      <family val="3"/>
      <charset val="128"/>
    </font>
    <font>
      <sz val="8"/>
      <color rgb="FFC00000"/>
      <name val="BIZ UDPゴシック"/>
      <family val="3"/>
      <charset val="128"/>
    </font>
    <font>
      <sz val="10"/>
      <color rgb="FFC00000"/>
      <name val="BIZ UDPゴシック"/>
      <family val="3"/>
      <charset val="128"/>
    </font>
    <font>
      <b/>
      <sz val="13"/>
      <color rgb="FFC00000"/>
      <name val="BIZ UDPゴシック"/>
      <family val="3"/>
      <charset val="128"/>
    </font>
    <font>
      <vertAlign val="subscript"/>
      <sz val="11"/>
      <name val="BIZ UDPゴシック"/>
      <family val="3"/>
      <charset val="128"/>
    </font>
    <font>
      <sz val="13"/>
      <color theme="2" tint="-0.749992370372631"/>
      <name val="BIZ UDPゴシック"/>
      <family val="3"/>
      <charset val="128"/>
    </font>
    <font>
      <vertAlign val="superscript"/>
      <sz val="9"/>
      <color theme="1"/>
      <name val="BIZ UDPゴシック"/>
      <family val="3"/>
      <charset val="128"/>
    </font>
    <font>
      <b/>
      <sz val="13"/>
      <color rgb="FF503B00"/>
      <name val="BIZ UDPゴシック"/>
      <family val="3"/>
      <charset val="128"/>
    </font>
    <font>
      <sz val="12"/>
      <color rgb="FF503B00"/>
      <name val="BIZ UDPゴシック"/>
      <family val="3"/>
      <charset val="128"/>
    </font>
    <font>
      <vertAlign val="superscript"/>
      <sz val="12"/>
      <color rgb="FF503B00"/>
      <name val="BIZ UDPゴシック"/>
      <family val="3"/>
      <charset val="128"/>
    </font>
    <font>
      <vertAlign val="subscript"/>
      <sz val="12"/>
      <color rgb="FF503B00"/>
      <name val="BIZ UDPゴシック"/>
      <family val="3"/>
      <charset val="128"/>
    </font>
    <font>
      <b/>
      <sz val="12"/>
      <color rgb="FF503B00"/>
      <name val="BIZ UDPゴシック"/>
      <family val="3"/>
      <charset val="128"/>
    </font>
    <font>
      <b/>
      <sz val="13"/>
      <color rgb="FF002060"/>
      <name val="BIZ UDPゴシック"/>
      <family val="3"/>
      <charset val="128"/>
    </font>
    <font>
      <sz val="12"/>
      <color rgb="FF002060"/>
      <name val="BIZ UDPゴシック"/>
      <family val="3"/>
      <charset val="128"/>
    </font>
    <font>
      <vertAlign val="superscript"/>
      <sz val="12"/>
      <color rgb="FF002060"/>
      <name val="BIZ UDPゴシック"/>
      <family val="3"/>
      <charset val="128"/>
    </font>
    <font>
      <sz val="11"/>
      <color rgb="FF002060"/>
      <name val="BIZ UDPゴシック"/>
      <family val="3"/>
      <charset val="128"/>
    </font>
    <font>
      <vertAlign val="subscript"/>
      <sz val="11"/>
      <color rgb="FF002060"/>
      <name val="BIZ UDPゴシック"/>
      <family val="3"/>
      <charset val="128"/>
    </font>
    <font>
      <b/>
      <sz val="12"/>
      <color theme="2" tint="-0.749992370372631"/>
      <name val="BIZ UDPゴシック"/>
      <family val="3"/>
      <charset val="128"/>
    </font>
    <font>
      <b/>
      <sz val="13"/>
      <color rgb="FF004C22"/>
      <name val="BIZ UDPゴシック"/>
      <family val="3"/>
      <charset val="128"/>
    </font>
    <font>
      <sz val="16"/>
      <color theme="0"/>
      <name val="BIZ UDPゴシック"/>
      <family val="3"/>
      <charset val="128"/>
    </font>
    <font>
      <b/>
      <sz val="12"/>
      <color indexed="81"/>
      <name val="BIZ UDPゴシック"/>
      <family val="3"/>
      <charset val="128"/>
    </font>
    <font>
      <b/>
      <sz val="14"/>
      <color indexed="81"/>
      <name val="BIZ UDPゴシック"/>
      <family val="3"/>
      <charset val="128"/>
    </font>
    <font>
      <sz val="26"/>
      <color theme="1"/>
      <name val="BIZ UDPゴシック"/>
      <family val="3"/>
      <charset val="128"/>
    </font>
    <font>
      <sz val="22"/>
      <color theme="1"/>
      <name val="BIZ UDPゴシック"/>
      <family val="3"/>
      <charset val="128"/>
    </font>
    <font>
      <b/>
      <sz val="18"/>
      <color theme="0"/>
      <name val="BIZ UDPゴシック"/>
      <family val="3"/>
      <charset val="128"/>
    </font>
    <font>
      <b/>
      <sz val="12"/>
      <color rgb="FFC00000"/>
      <name val="BIZ UDPゴシック"/>
      <family val="3"/>
      <charset val="128"/>
    </font>
  </fonts>
  <fills count="71">
    <fill>
      <patternFill patternType="none"/>
    </fill>
    <fill>
      <patternFill patternType="gray125"/>
    </fill>
    <fill>
      <patternFill patternType="solid">
        <fgColor rgb="FFFDF9E9"/>
        <bgColor rgb="FF000000"/>
      </patternFill>
    </fill>
    <fill>
      <patternFill patternType="solid">
        <fgColor theme="9" tint="0.79995117038483843"/>
        <bgColor indexed="64"/>
      </patternFill>
    </fill>
    <fill>
      <patternFill patternType="solid">
        <fgColor theme="7" tint="0.39994506668294322"/>
        <bgColor indexed="64"/>
      </patternFill>
    </fill>
    <fill>
      <patternFill patternType="solid">
        <fgColor theme="9" tint="0.39994506668294322"/>
        <bgColor indexed="64"/>
      </patternFill>
    </fill>
    <fill>
      <patternFill patternType="solid">
        <fgColor rgb="FFFDF9E9"/>
        <bgColor indexed="64"/>
      </patternFill>
    </fill>
    <fill>
      <patternFill patternType="solid">
        <fgColor rgb="FFE3F9F4"/>
        <bgColor indexed="64"/>
      </patternFill>
    </fill>
    <fill>
      <patternFill patternType="solid">
        <fgColor rgb="FFF2F8EE"/>
        <bgColor indexed="64"/>
      </patternFill>
    </fill>
    <fill>
      <patternFill patternType="solid">
        <fgColor rgb="FFFCE4E4"/>
        <bgColor indexed="64"/>
      </patternFill>
    </fill>
    <fill>
      <patternFill patternType="solid">
        <fgColor theme="4" tint="0.59999389629810485"/>
        <bgColor indexed="64"/>
      </patternFill>
    </fill>
    <fill>
      <patternFill patternType="solid">
        <fgColor theme="7" tint="0.79995117038483843"/>
        <bgColor indexed="64"/>
      </patternFill>
    </fill>
    <fill>
      <patternFill patternType="solid">
        <fgColor rgb="FFE1EDFF"/>
        <bgColor indexed="64"/>
      </patternFill>
    </fill>
    <fill>
      <patternFill patternType="solid">
        <fgColor rgb="FFF7F4FE"/>
        <bgColor indexed="64"/>
      </patternFill>
    </fill>
    <fill>
      <patternFill patternType="solid">
        <fgColor rgb="FFB4D2FE"/>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5117038483843"/>
        <bgColor indexed="64"/>
      </patternFill>
    </fill>
    <fill>
      <patternFill patternType="solid">
        <fgColor rgb="FFFFF2CC"/>
        <bgColor rgb="FF000000"/>
      </patternFill>
    </fill>
    <fill>
      <patternFill patternType="solid">
        <fgColor rgb="FFD9E1F2"/>
        <bgColor rgb="FF000000"/>
      </patternFill>
    </fill>
    <fill>
      <patternFill patternType="solid">
        <fgColor rgb="FFFCE4D6"/>
        <bgColor rgb="FF000000"/>
      </patternFill>
    </fill>
    <fill>
      <patternFill patternType="solid">
        <fgColor rgb="FFF9FBFD"/>
        <bgColor rgb="FF000000"/>
      </patternFill>
    </fill>
    <fill>
      <patternFill patternType="solid">
        <fgColor rgb="FFFDF0E9"/>
        <bgColor rgb="FF000000"/>
      </patternFill>
    </fill>
    <fill>
      <patternFill patternType="solid">
        <fgColor rgb="FFFFCCCC"/>
        <bgColor rgb="FF000000"/>
      </patternFill>
    </fill>
    <fill>
      <patternFill patternType="solid">
        <fgColor rgb="FFE2EFDA"/>
        <bgColor rgb="FF000000"/>
      </patternFill>
    </fill>
    <fill>
      <patternFill patternType="solid">
        <fgColor rgb="FFFFEFEF"/>
        <bgColor rgb="FF000000"/>
      </patternFill>
    </fill>
    <fill>
      <patternFill patternType="solid">
        <fgColor rgb="FFF2F8EE"/>
        <bgColor rgb="FF000000"/>
      </patternFill>
    </fill>
    <fill>
      <patternFill patternType="solid">
        <fgColor theme="7" tint="0.79995117038483843"/>
        <bgColor rgb="FF000000"/>
      </patternFill>
    </fill>
    <fill>
      <patternFill patternType="solid">
        <fgColor rgb="FFFFCCCC"/>
        <bgColor indexed="64"/>
      </patternFill>
    </fill>
    <fill>
      <patternFill patternType="solid">
        <fgColor rgb="FFFFEFEF"/>
        <bgColor indexed="64"/>
      </patternFill>
    </fill>
    <fill>
      <patternFill patternType="solid">
        <fgColor theme="4" tint="0.79995117038483843"/>
        <bgColor indexed="64"/>
      </patternFill>
    </fill>
    <fill>
      <patternFill patternType="solid">
        <fgColor rgb="FFF9FBFD"/>
        <bgColor indexed="64"/>
      </patternFill>
    </fill>
    <fill>
      <patternFill patternType="solid">
        <fgColor rgb="FFFDF0E9"/>
        <bgColor indexed="64"/>
      </patternFill>
    </fill>
    <fill>
      <patternFill patternType="solid">
        <fgColor rgb="FFEAE3FD"/>
        <bgColor indexed="64"/>
      </patternFill>
    </fill>
    <fill>
      <patternFill patternType="solid">
        <fgColor rgb="FFFEF4F4"/>
        <bgColor indexed="64"/>
      </patternFill>
    </fill>
    <fill>
      <patternFill patternType="solid">
        <fgColor theme="6" tint="0.79995117038483843"/>
        <bgColor indexed="64"/>
      </patternFill>
    </fill>
    <fill>
      <patternFill patternType="solid">
        <fgColor rgb="FFFFE7E7"/>
        <bgColor indexed="64"/>
      </patternFill>
    </fill>
    <fill>
      <patternFill patternType="solid">
        <fgColor rgb="FFFFFBEF"/>
        <bgColor indexed="64"/>
      </patternFill>
    </fill>
    <fill>
      <patternFill patternType="solid">
        <fgColor rgb="FFFEFAF8"/>
        <bgColor indexed="64"/>
      </patternFill>
    </fill>
    <fill>
      <patternFill patternType="solid">
        <fgColor rgb="FFE8FDFE"/>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EFF8"/>
        <bgColor indexed="64"/>
      </patternFill>
    </fill>
    <fill>
      <patternFill patternType="solid">
        <fgColor rgb="FFEADCF4"/>
        <bgColor indexed="64"/>
      </patternFill>
    </fill>
    <fill>
      <patternFill patternType="solid">
        <fgColor rgb="FFFFFAEB"/>
        <bgColor indexed="64"/>
      </patternFill>
    </fill>
    <fill>
      <patternFill patternType="solid">
        <fgColor rgb="FFFFE1E1"/>
        <bgColor indexed="64"/>
      </patternFill>
    </fill>
    <fill>
      <patternFill patternType="solid">
        <fgColor rgb="FFFFD9D9"/>
        <bgColor indexed="64"/>
      </patternFill>
    </fill>
    <fill>
      <patternFill patternType="solid">
        <fgColor rgb="FFFFEED5"/>
        <bgColor indexed="64"/>
      </patternFill>
    </fill>
    <fill>
      <patternFill patternType="solid">
        <fgColor rgb="FFDAF0DF"/>
        <bgColor indexed="64"/>
      </patternFill>
    </fill>
    <fill>
      <patternFill patternType="solid">
        <fgColor rgb="FFFDECE3"/>
        <bgColor indexed="64"/>
      </patternFill>
    </fill>
    <fill>
      <patternFill patternType="solid">
        <fgColor rgb="FFFFFEF7"/>
        <bgColor indexed="64"/>
      </patternFill>
    </fill>
    <fill>
      <patternFill patternType="solid">
        <fgColor rgb="FFFFC000"/>
        <bgColor rgb="FF000000"/>
      </patternFill>
    </fill>
    <fill>
      <patternFill patternType="solid">
        <fgColor theme="8" tint="0.79998168889431442"/>
        <bgColor rgb="FF000000"/>
      </patternFill>
    </fill>
    <fill>
      <patternFill patternType="solid">
        <fgColor theme="8" tint="-0.249977111117893"/>
        <bgColor rgb="FF000000"/>
      </patternFill>
    </fill>
    <fill>
      <patternFill patternType="solid">
        <fgColor rgb="FFEC6262"/>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EFF6EA"/>
        <bgColor indexed="64"/>
      </patternFill>
    </fill>
    <fill>
      <patternFill patternType="solid">
        <fgColor rgb="FFFCA2A2"/>
        <bgColor indexed="64"/>
      </patternFill>
    </fill>
    <fill>
      <patternFill patternType="solid">
        <fgColor rgb="FFFEE7FF"/>
        <bgColor indexed="64"/>
      </patternFill>
    </fill>
  </fills>
  <borders count="216">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double">
        <color rgb="FFFF8001"/>
      </bottom>
      <diagonal/>
    </border>
    <border>
      <left/>
      <right/>
      <top style="medium">
        <color auto="1"/>
      </top>
      <bottom style="double">
        <color rgb="FFFF8001"/>
      </bottom>
      <diagonal/>
    </border>
    <border>
      <left/>
      <right style="medium">
        <color auto="1"/>
      </right>
      <top style="medium">
        <color auto="1"/>
      </top>
      <bottom style="double">
        <color rgb="FFFF8001"/>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thin">
        <color auto="1"/>
      </right>
      <top style="medium">
        <color auto="1"/>
      </top>
      <bottom style="double">
        <color auto="1"/>
      </bottom>
      <diagonal/>
    </border>
    <border>
      <left style="medium">
        <color auto="1"/>
      </left>
      <right/>
      <top style="double">
        <color auto="1"/>
      </top>
      <bottom style="thin">
        <color auto="1"/>
      </bottom>
      <diagonal/>
    </border>
    <border>
      <left style="medium">
        <color auto="1"/>
      </left>
      <right style="medium">
        <color auto="1"/>
      </right>
      <top/>
      <bottom/>
      <diagonal/>
    </border>
    <border>
      <left/>
      <right/>
      <top/>
      <bottom style="double">
        <color rgb="FFFF8001"/>
      </bottom>
      <diagonal/>
    </border>
    <border>
      <left style="medium">
        <color theme="1"/>
      </left>
      <right style="medium">
        <color theme="1"/>
      </right>
      <top style="medium">
        <color theme="1"/>
      </top>
      <bottom style="medium">
        <color theme="1"/>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right style="thick">
        <color theme="1"/>
      </right>
      <top style="thick">
        <color theme="1"/>
      </top>
      <bottom style="thick">
        <color theme="1"/>
      </bottom>
      <diagonal/>
    </border>
    <border>
      <left style="thick">
        <color theme="1"/>
      </left>
      <right style="thick">
        <color theme="1"/>
      </right>
      <top style="thick">
        <color theme="1"/>
      </top>
      <bottom/>
      <diagonal/>
    </border>
    <border>
      <left style="dotted">
        <color indexed="64"/>
      </left>
      <right/>
      <top style="thick">
        <color theme="1"/>
      </top>
      <bottom style="thick">
        <color theme="1"/>
      </bottom>
      <diagonal/>
    </border>
    <border>
      <left/>
      <right/>
      <top style="thick">
        <color theme="1"/>
      </top>
      <bottom style="thick">
        <color theme="1"/>
      </bottom>
      <diagonal/>
    </border>
    <border>
      <left/>
      <right style="dotted">
        <color indexed="64"/>
      </right>
      <top style="thick">
        <color theme="1"/>
      </top>
      <bottom style="thick">
        <color theme="1"/>
      </bottom>
      <diagonal/>
    </border>
    <border>
      <left style="medium">
        <color theme="1"/>
      </left>
      <right style="medium">
        <color theme="1"/>
      </right>
      <top style="medium">
        <color theme="1"/>
      </top>
      <bottom style="dotted">
        <color theme="1"/>
      </bottom>
      <diagonal/>
    </border>
    <border>
      <left style="medium">
        <color theme="1"/>
      </left>
      <right style="medium">
        <color theme="1"/>
      </right>
      <top style="dotted">
        <color theme="1"/>
      </top>
      <bottom style="dotted">
        <color theme="1"/>
      </bottom>
      <diagonal/>
    </border>
    <border>
      <left style="medium">
        <color theme="1"/>
      </left>
      <right style="medium">
        <color theme="1"/>
      </right>
      <top style="dotted">
        <color theme="1"/>
      </top>
      <bottom style="medium">
        <color theme="1"/>
      </bottom>
      <diagonal/>
    </border>
    <border>
      <left style="medium">
        <color theme="1"/>
      </left>
      <right style="medium">
        <color theme="1"/>
      </right>
      <top style="dotted">
        <color theme="1"/>
      </top>
      <bottom/>
      <diagonal/>
    </border>
    <border>
      <left style="medium">
        <color theme="1"/>
      </left>
      <right style="medium">
        <color theme="1"/>
      </right>
      <top/>
      <bottom style="dotted">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auto="1"/>
      </right>
      <top style="medium">
        <color theme="1"/>
      </top>
      <bottom/>
      <diagonal/>
    </border>
    <border>
      <left style="thin">
        <color auto="1"/>
      </left>
      <right style="thin">
        <color auto="1"/>
      </right>
      <top style="medium">
        <color theme="1"/>
      </top>
      <bottom style="thin">
        <color auto="1"/>
      </bottom>
      <diagonal/>
    </border>
    <border>
      <left style="thin">
        <color auto="1"/>
      </left>
      <right/>
      <top style="medium">
        <color theme="1"/>
      </top>
      <bottom style="thin">
        <color auto="1"/>
      </bottom>
      <diagonal/>
    </border>
    <border>
      <left style="medium">
        <color theme="1"/>
      </left>
      <right style="thin">
        <color auto="1"/>
      </right>
      <top/>
      <bottom/>
      <diagonal/>
    </border>
    <border>
      <left style="medium">
        <color theme="1"/>
      </left>
      <right style="thin">
        <color auto="1"/>
      </right>
      <top/>
      <bottom style="medium">
        <color theme="1"/>
      </bottom>
      <diagonal/>
    </border>
    <border>
      <left style="thin">
        <color auto="1"/>
      </left>
      <right style="thin">
        <color auto="1"/>
      </right>
      <top style="thin">
        <color auto="1"/>
      </top>
      <bottom style="medium">
        <color theme="1"/>
      </bottom>
      <diagonal/>
    </border>
    <border>
      <left style="thin">
        <color auto="1"/>
      </left>
      <right/>
      <top style="thin">
        <color auto="1"/>
      </top>
      <bottom style="medium">
        <color theme="1"/>
      </bottom>
      <diagonal/>
    </border>
    <border>
      <left style="medium">
        <color theme="1"/>
      </left>
      <right style="thin">
        <color auto="1"/>
      </right>
      <top style="medium">
        <color theme="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right style="medium">
        <color theme="1"/>
      </right>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right/>
      <top style="medium">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thin">
        <color theme="1"/>
      </left>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medium">
        <color theme="1"/>
      </right>
      <top style="medium">
        <color theme="1"/>
      </top>
      <bottom style="medium">
        <color theme="1"/>
      </bottom>
      <diagonal/>
    </border>
    <border>
      <left/>
      <right style="medium">
        <color theme="1"/>
      </right>
      <top style="thin">
        <color theme="1"/>
      </top>
      <bottom style="thin">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style="thin">
        <color theme="1"/>
      </right>
      <top style="thin">
        <color theme="1"/>
      </top>
      <bottom/>
      <diagonal/>
    </border>
    <border>
      <left/>
      <right/>
      <top style="medium">
        <color theme="1"/>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medium">
        <color theme="1"/>
      </left>
      <right/>
      <top style="medium">
        <color theme="1"/>
      </top>
      <bottom style="thin">
        <color theme="1"/>
      </bottom>
      <diagonal/>
    </border>
    <border>
      <left style="thin">
        <color theme="1"/>
      </left>
      <right style="medium">
        <color theme="1"/>
      </right>
      <top style="thin">
        <color theme="1"/>
      </top>
      <bottom/>
      <diagonal/>
    </border>
    <border>
      <left style="thin">
        <color theme="1"/>
      </left>
      <right style="medium">
        <color theme="1"/>
      </right>
      <top/>
      <bottom style="thin">
        <color theme="1"/>
      </bottom>
      <diagonal/>
    </border>
    <border>
      <left/>
      <right/>
      <top style="medium">
        <color theme="1"/>
      </top>
      <bottom style="thin">
        <color auto="1"/>
      </bottom>
      <diagonal/>
    </border>
    <border>
      <left/>
      <right/>
      <top style="thin">
        <color auto="1"/>
      </top>
      <bottom style="medium">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indexed="64"/>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thin">
        <color theme="1"/>
      </top>
      <bottom/>
      <diagonal/>
    </border>
    <border>
      <left style="thin">
        <color theme="1"/>
      </left>
      <right style="medium">
        <color indexed="64"/>
      </right>
      <top style="thin">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medium">
        <color theme="1"/>
      </right>
      <top style="medium">
        <color indexed="64"/>
      </top>
      <bottom style="thin">
        <color theme="1"/>
      </bottom>
      <diagonal/>
    </border>
    <border>
      <left style="medium">
        <color indexed="64"/>
      </left>
      <right style="medium">
        <color theme="1"/>
      </right>
      <top style="thin">
        <color theme="1"/>
      </top>
      <bottom style="thin">
        <color theme="1"/>
      </bottom>
      <diagonal/>
    </border>
    <border>
      <left style="medium">
        <color indexed="64"/>
      </left>
      <right style="medium">
        <color theme="1"/>
      </right>
      <top style="thin">
        <color theme="1"/>
      </top>
      <bottom style="medium">
        <color indexed="64"/>
      </bottom>
      <diagonal/>
    </border>
    <border>
      <left style="medium">
        <color theme="1"/>
      </left>
      <right style="medium">
        <color auto="1"/>
      </right>
      <top/>
      <bottom style="medium">
        <color indexed="64"/>
      </bottom>
      <diagonal/>
    </border>
    <border>
      <left style="thin">
        <color theme="1"/>
      </left>
      <right style="medium">
        <color indexed="64"/>
      </right>
      <top style="thin">
        <color theme="1"/>
      </top>
      <bottom style="medium">
        <color theme="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double">
        <color indexed="64"/>
      </bottom>
      <diagonal/>
    </border>
    <border>
      <left/>
      <right/>
      <top style="double">
        <color auto="1"/>
      </top>
      <bottom style="thin">
        <color auto="1"/>
      </bottom>
      <diagonal/>
    </border>
    <border>
      <left style="thin">
        <color theme="1" tint="0.14999847407452621"/>
      </left>
      <right style="thin">
        <color theme="1" tint="0.14999847407452621"/>
      </right>
      <top style="medium">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medium">
        <color theme="1" tint="0.14999847407452621"/>
      </bottom>
      <diagonal/>
    </border>
    <border>
      <left/>
      <right style="thin">
        <color theme="1" tint="0.14999847407452621"/>
      </right>
      <top style="medium">
        <color theme="1" tint="0.14999847407452621"/>
      </top>
      <bottom style="thin">
        <color theme="1" tint="0.14999847407452621"/>
      </bottom>
      <diagonal/>
    </border>
    <border>
      <left style="medium">
        <color theme="1" tint="0.14999847407452621"/>
      </left>
      <right/>
      <top style="medium">
        <color theme="1" tint="0.14999847407452621"/>
      </top>
      <bottom style="thin">
        <color theme="1" tint="0.14999847407452621"/>
      </bottom>
      <diagonal/>
    </border>
    <border>
      <left/>
      <right style="thin">
        <color theme="1" tint="0.14999847407452621"/>
      </right>
      <top style="thin">
        <color theme="1" tint="0.14999847407452621"/>
      </top>
      <bottom style="medium">
        <color theme="1" tint="0.14999847407452621"/>
      </bottom>
      <diagonal/>
    </border>
    <border>
      <left style="medium">
        <color theme="1" tint="0.14999847407452621"/>
      </left>
      <right/>
      <top style="thin">
        <color theme="1" tint="0.14999847407452621"/>
      </top>
      <bottom style="medium">
        <color theme="1" tint="0.14999847407452621"/>
      </bottom>
      <diagonal/>
    </border>
    <border>
      <left/>
      <right/>
      <top style="medium">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style="medium">
        <color theme="1" tint="0.14999847407452621"/>
      </right>
      <top style="medium">
        <color theme="1" tint="0.14999847407452621"/>
      </top>
      <bottom style="thin">
        <color theme="1" tint="0.14999847407452621"/>
      </bottom>
      <diagonal/>
    </border>
    <border>
      <left/>
      <right style="medium">
        <color theme="1" tint="0.14999847407452621"/>
      </right>
      <top style="thin">
        <color theme="1" tint="0.14999847407452621"/>
      </top>
      <bottom style="medium">
        <color theme="1" tint="0.14999847407452621"/>
      </bottom>
      <diagonal/>
    </border>
    <border>
      <left style="medium">
        <color auto="1"/>
      </left>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style="thin">
        <color theme="0" tint="-0.499984740745262"/>
      </right>
      <top style="medium">
        <color auto="1"/>
      </top>
      <bottom style="medium">
        <color auto="1"/>
      </bottom>
      <diagonal/>
    </border>
    <border>
      <left style="medium">
        <color auto="1"/>
      </left>
      <right style="thin">
        <color theme="0" tint="-0.499984740745262"/>
      </right>
      <top style="medium">
        <color auto="1"/>
      </top>
      <bottom/>
      <diagonal/>
    </border>
    <border>
      <left style="medium">
        <color auto="1"/>
      </left>
      <right style="thin">
        <color theme="0" tint="-0.499984740745262"/>
      </right>
      <top/>
      <bottom style="medium">
        <color auto="1"/>
      </bottom>
      <diagonal/>
    </border>
    <border>
      <left/>
      <right style="thin">
        <color theme="0" tint="-0.499984740745262"/>
      </right>
      <top style="thin">
        <color auto="1"/>
      </top>
      <bottom style="thin">
        <color auto="1"/>
      </bottom>
      <diagonal/>
    </border>
    <border>
      <left/>
      <right style="thin">
        <color theme="0" tint="-0.499984740745262"/>
      </right>
      <top style="thin">
        <color auto="1"/>
      </top>
      <bottom style="medium">
        <color auto="1"/>
      </bottom>
      <diagonal/>
    </border>
    <border>
      <left/>
      <right style="thin">
        <color theme="0" tint="-0.499984740745262"/>
      </right>
      <top style="thin">
        <color auto="1"/>
      </top>
      <bottom/>
      <diagonal/>
    </border>
    <border>
      <left/>
      <right style="thin">
        <color theme="0" tint="-0.499984740745262"/>
      </right>
      <top/>
      <bottom style="thin">
        <color auto="1"/>
      </bottom>
      <diagonal/>
    </border>
    <border>
      <left style="medium">
        <color auto="1"/>
      </left>
      <right style="thin">
        <color theme="0" tint="-0.499984740745262"/>
      </right>
      <top style="thin">
        <color auto="1"/>
      </top>
      <bottom style="medium">
        <color auto="1"/>
      </bottom>
      <diagonal/>
    </border>
    <border>
      <left style="medium">
        <color auto="1"/>
      </left>
      <right style="thin">
        <color theme="0" tint="-0.499984740745262"/>
      </right>
      <top style="medium">
        <color auto="1"/>
      </top>
      <bottom style="thin">
        <color auto="1"/>
      </bottom>
      <diagonal/>
    </border>
    <border>
      <left style="thin">
        <color theme="0" tint="-0.499984740745262"/>
      </left>
      <right style="thin">
        <color theme="0" tint="-0.499984740745262"/>
      </right>
      <top style="thin">
        <color auto="1"/>
      </top>
      <bottom style="thin">
        <color auto="1"/>
      </bottom>
      <diagonal/>
    </border>
    <border>
      <left/>
      <right style="thin">
        <color theme="0" tint="-0.499984740745262"/>
      </right>
      <top style="medium">
        <color theme="1" tint="0.14999847407452621"/>
      </top>
      <bottom style="thin">
        <color theme="1" tint="0.14999847407452621"/>
      </bottom>
      <diagonal/>
    </border>
    <border>
      <left/>
      <right style="thin">
        <color theme="0" tint="-0.499984740745262"/>
      </right>
      <top style="thin">
        <color theme="1" tint="0.14999847407452621"/>
      </top>
      <bottom style="medium">
        <color theme="1" tint="0.14999847407452621"/>
      </bottom>
      <diagonal/>
    </border>
    <border>
      <left style="thin">
        <color theme="1" tint="0.14999847407452621"/>
      </left>
      <right style="thin">
        <color theme="0" tint="-0.499984740745262"/>
      </right>
      <top style="medium">
        <color theme="1" tint="0.14999847407452621"/>
      </top>
      <bottom style="thin">
        <color theme="1" tint="0.14999847407452621"/>
      </bottom>
      <diagonal/>
    </border>
    <border>
      <left style="thin">
        <color theme="1" tint="0.14999847407452621"/>
      </left>
      <right style="thin">
        <color theme="0" tint="-0.499984740745262"/>
      </right>
      <top style="thin">
        <color theme="1" tint="0.14999847407452621"/>
      </top>
      <bottom style="medium">
        <color theme="1" tint="0.14999847407452621"/>
      </bottom>
      <diagonal/>
    </border>
    <border>
      <left/>
      <right style="thin">
        <color theme="0" tint="-0.499984740745262"/>
      </right>
      <top/>
      <bottom/>
      <diagonal/>
    </border>
    <border>
      <left/>
      <right style="thin">
        <color theme="0" tint="-0.499984740745262"/>
      </right>
      <top style="medium">
        <color auto="1"/>
      </top>
      <bottom style="medium">
        <color auto="1"/>
      </bottom>
      <diagonal/>
    </border>
    <border>
      <left/>
      <right style="thin">
        <color theme="0" tint="-0.499984740745262"/>
      </right>
      <top style="medium">
        <color auto="1"/>
      </top>
      <bottom style="double">
        <color auto="1"/>
      </bottom>
      <diagonal/>
    </border>
    <border>
      <left/>
      <right style="medium">
        <color auto="1"/>
      </right>
      <top style="medium">
        <color auto="1"/>
      </top>
      <bottom style="double">
        <color auto="1"/>
      </bottom>
      <diagonal/>
    </border>
    <border>
      <left style="thin">
        <color theme="0" tint="-0.499984740745262"/>
      </left>
      <right style="thin">
        <color theme="0" tint="-0.499984740745262"/>
      </right>
      <top/>
      <bottom style="thin">
        <color auto="1"/>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auto="1"/>
      </top>
      <bottom style="thin">
        <color auto="1"/>
      </bottom>
      <diagonal/>
    </border>
    <border>
      <left style="thin">
        <color theme="0" tint="-0.499984740745262"/>
      </left>
      <right style="thin">
        <color theme="0" tint="-0.499984740745262"/>
      </right>
      <top style="thin">
        <color auto="1"/>
      </top>
      <bottom/>
      <diagonal/>
    </border>
    <border>
      <left style="thin">
        <color theme="0" tint="-0.499984740745262"/>
      </left>
      <right style="thin">
        <color theme="0" tint="-0.499984740745262"/>
      </right>
      <top style="medium">
        <color auto="1"/>
      </top>
      <bottom/>
      <diagonal/>
    </border>
    <border>
      <left/>
      <right style="thin">
        <color theme="0" tint="-0.499984740745262"/>
      </right>
      <top style="double">
        <color auto="1"/>
      </top>
      <bottom style="thin">
        <color auto="1"/>
      </bottom>
      <diagonal/>
    </border>
    <border>
      <left style="thin">
        <color theme="0" tint="-0.499984740745262"/>
      </left>
      <right style="thin">
        <color theme="0" tint="-0.499984740745262"/>
      </right>
      <top style="thin">
        <color auto="1"/>
      </top>
      <bottom style="medium">
        <color indexed="64"/>
      </bottom>
      <diagonal/>
    </border>
    <border>
      <left style="thin">
        <color theme="0" tint="-0.499984740745262"/>
      </left>
      <right style="thin">
        <color theme="0" tint="-0.499984740745262"/>
      </right>
      <top style="medium">
        <color indexed="64"/>
      </top>
      <bottom style="double">
        <color auto="1"/>
      </bottom>
      <diagonal/>
    </border>
    <border>
      <left style="thin">
        <color theme="0" tint="-0.499984740745262"/>
      </left>
      <right style="thin">
        <color theme="0" tint="-0.499984740745262"/>
      </right>
      <top style="medium">
        <color auto="1"/>
      </top>
      <bottom style="medium">
        <color indexed="64"/>
      </bottom>
      <diagonal/>
    </border>
    <border>
      <left style="thin">
        <color theme="0" tint="-0.499984740745262"/>
      </left>
      <right/>
      <top style="thin">
        <color auto="1"/>
      </top>
      <bottom style="medium">
        <color auto="1"/>
      </bottom>
      <diagonal/>
    </border>
    <border>
      <left style="thin">
        <color theme="0" tint="-0.499984740745262"/>
      </left>
      <right style="medium">
        <color indexed="64"/>
      </right>
      <top style="medium">
        <color indexed="64"/>
      </top>
      <bottom style="medium">
        <color indexed="64"/>
      </bottom>
      <diagonal/>
    </border>
    <border>
      <left/>
      <right style="thin">
        <color theme="0" tint="-0.499984740745262"/>
      </right>
      <top style="medium">
        <color auto="1"/>
      </top>
      <bottom/>
      <diagonal/>
    </border>
    <border>
      <left style="thin">
        <color theme="0" tint="-0.499984740745262"/>
      </left>
      <right/>
      <top style="medium">
        <color auto="1"/>
      </top>
      <bottom/>
      <diagonal/>
    </border>
    <border>
      <left/>
      <right style="thin">
        <color theme="0" tint="-0.499984740745262"/>
      </right>
      <top/>
      <bottom style="medium">
        <color auto="1"/>
      </bottom>
      <diagonal/>
    </border>
    <border>
      <left style="medium">
        <color auto="1"/>
      </left>
      <right/>
      <top style="thin">
        <color theme="0" tint="-0.499984740745262"/>
      </top>
      <bottom/>
      <diagonal/>
    </border>
    <border>
      <left/>
      <right/>
      <top style="thin">
        <color theme="0" tint="-0.499984740745262"/>
      </top>
      <bottom/>
      <diagonal/>
    </border>
    <border>
      <left/>
      <right style="medium">
        <color auto="1"/>
      </right>
      <top style="thin">
        <color theme="0" tint="-0.499984740745262"/>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4">
    <xf numFmtId="0" fontId="0" fillId="0" borderId="0"/>
    <xf numFmtId="0" fontId="43" fillId="0" borderId="72" applyNumberFormat="0" applyFill="0" applyAlignment="0" applyProtection="0"/>
    <xf numFmtId="0" fontId="50" fillId="0" borderId="0"/>
    <xf numFmtId="9" fontId="94" fillId="0" borderId="0" applyFont="0" applyFill="0" applyBorder="0" applyAlignment="0" applyProtection="0"/>
  </cellStyleXfs>
  <cellXfs count="137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center" wrapText="1"/>
    </xf>
    <xf numFmtId="0" fontId="1" fillId="0" borderId="0" xfId="0" applyFont="1"/>
    <xf numFmtId="0" fontId="3" fillId="0" borderId="0" xfId="0" applyFont="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0" borderId="12" xfId="0" applyFont="1" applyBorder="1" applyAlignment="1">
      <alignment horizontal="center" vertical="center"/>
    </xf>
    <xf numFmtId="0" fontId="3" fillId="5" borderId="5" xfId="0" applyFont="1" applyFill="1" applyBorder="1" applyAlignment="1">
      <alignment horizontal="center" vertical="center"/>
    </xf>
    <xf numFmtId="0" fontId="3" fillId="5" borderId="17" xfId="0" applyFont="1" applyFill="1" applyBorder="1" applyAlignment="1">
      <alignment horizontal="center" vertical="center"/>
    </xf>
    <xf numFmtId="0" fontId="2" fillId="0" borderId="12" xfId="0" applyFont="1" applyBorder="1" applyAlignment="1">
      <alignment horizontal="left" vertical="center" indent="1"/>
    </xf>
    <xf numFmtId="0" fontId="2" fillId="0" borderId="21" xfId="0" applyFont="1" applyBorder="1" applyAlignment="1">
      <alignment horizontal="left" vertical="center" indent="1"/>
    </xf>
    <xf numFmtId="0" fontId="2" fillId="7" borderId="12" xfId="0" applyFont="1" applyFill="1" applyBorder="1" applyAlignment="1">
      <alignment horizontal="left" vertical="center" indent="1"/>
    </xf>
    <xf numFmtId="0" fontId="2" fillId="7" borderId="21" xfId="0" applyFont="1" applyFill="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8" borderId="3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2" fillId="0" borderId="21" xfId="0" applyFont="1" applyBorder="1" applyAlignment="1">
      <alignment horizontal="left" vertical="center" wrapText="1" indent="1"/>
    </xf>
    <xf numFmtId="0" fontId="2" fillId="11" borderId="21" xfId="0" applyFont="1" applyFill="1" applyBorder="1" applyAlignment="1">
      <alignment horizontal="left" vertical="center" wrapText="1" indent="1"/>
    </xf>
    <xf numFmtId="0" fontId="2" fillId="12" borderId="12" xfId="0" applyFont="1" applyFill="1" applyBorder="1" applyAlignment="1">
      <alignment horizontal="left" vertical="center" indent="1"/>
    </xf>
    <xf numFmtId="0" fontId="2" fillId="12" borderId="21" xfId="0" applyFont="1" applyFill="1" applyBorder="1" applyAlignment="1">
      <alignment horizontal="left" vertical="center" indent="1"/>
    </xf>
    <xf numFmtId="0" fontId="2" fillId="0" borderId="12" xfId="0" applyFont="1" applyBorder="1" applyAlignment="1">
      <alignment vertical="center"/>
    </xf>
    <xf numFmtId="0" fontId="2" fillId="0" borderId="13" xfId="0" applyFont="1" applyBorder="1" applyAlignment="1">
      <alignment vertical="center"/>
    </xf>
    <xf numFmtId="0" fontId="2" fillId="0" borderId="34" xfId="0" applyFont="1" applyBorder="1" applyAlignment="1">
      <alignment horizontal="center" vertical="center" wrapText="1"/>
    </xf>
    <xf numFmtId="0" fontId="6" fillId="0" borderId="21" xfId="0" applyFont="1" applyBorder="1" applyAlignment="1">
      <alignment horizontal="left" vertical="center" wrapText="1" indent="1"/>
    </xf>
    <xf numFmtId="0" fontId="2" fillId="3" borderId="34" xfId="0" applyFont="1" applyFill="1" applyBorder="1" applyAlignment="1">
      <alignment horizontal="center" vertical="center" wrapText="1"/>
    </xf>
    <xf numFmtId="0" fontId="2" fillId="11" borderId="25" xfId="0" applyFont="1" applyFill="1" applyBorder="1" applyAlignment="1">
      <alignment horizontal="left" vertical="center" wrapText="1" indent="1"/>
    </xf>
    <xf numFmtId="0" fontId="2" fillId="3" borderId="37" xfId="0" applyFont="1" applyFill="1" applyBorder="1" applyAlignment="1">
      <alignment horizontal="center" vertical="center" wrapText="1"/>
    </xf>
    <xf numFmtId="0" fontId="6" fillId="12" borderId="21" xfId="0" applyFont="1" applyFill="1" applyBorder="1" applyAlignment="1">
      <alignment horizontal="left" vertical="center" wrapText="1" indent="1"/>
    </xf>
    <xf numFmtId="0" fontId="6" fillId="0" borderId="25" xfId="0" applyFont="1" applyBorder="1" applyAlignment="1">
      <alignment horizontal="left" vertical="center" wrapText="1" indent="1"/>
    </xf>
    <xf numFmtId="0" fontId="2" fillId="0" borderId="21" xfId="0" applyFont="1" applyBorder="1" applyAlignment="1">
      <alignment horizontal="center" vertical="center"/>
    </xf>
    <xf numFmtId="0" fontId="2" fillId="12" borderId="12" xfId="0" applyFont="1" applyFill="1" applyBorder="1" applyAlignment="1">
      <alignment horizontal="center" vertical="center"/>
    </xf>
    <xf numFmtId="0" fontId="2" fillId="12" borderId="21" xfId="0" applyFont="1" applyFill="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indent="1"/>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1" xfId="0" applyFont="1" applyFill="1" applyBorder="1" applyAlignment="1">
      <alignment horizontal="left" vertical="center" indent="1"/>
    </xf>
    <xf numFmtId="0" fontId="2" fillId="16" borderId="12" xfId="0" applyFont="1" applyFill="1" applyBorder="1" applyAlignment="1">
      <alignment horizontal="center" vertical="center"/>
    </xf>
    <xf numFmtId="0" fontId="2" fillId="16" borderId="21" xfId="0" applyFont="1" applyFill="1" applyBorder="1" applyAlignment="1">
      <alignment horizontal="center" vertical="center"/>
    </xf>
    <xf numFmtId="0" fontId="2" fillId="12" borderId="24" xfId="0" applyFont="1" applyFill="1" applyBorder="1" applyAlignment="1">
      <alignment horizontal="center" vertical="center"/>
    </xf>
    <xf numFmtId="0" fontId="2" fillId="12" borderId="25" xfId="0" applyFont="1" applyFill="1" applyBorder="1" applyAlignment="1">
      <alignment horizontal="center" vertical="center"/>
    </xf>
    <xf numFmtId="0" fontId="2" fillId="0" borderId="12" xfId="0" applyFont="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3" fillId="17" borderId="5" xfId="0" applyFont="1" applyFill="1" applyBorder="1" applyAlignment="1">
      <alignment horizontal="center" vertical="center"/>
    </xf>
    <xf numFmtId="0" fontId="9" fillId="17" borderId="17" xfId="0" applyFont="1" applyFill="1" applyBorder="1" applyAlignment="1">
      <alignment horizontal="center" vertical="center"/>
    </xf>
    <xf numFmtId="0" fontId="4" fillId="0" borderId="21" xfId="0" applyFont="1" applyBorder="1" applyAlignment="1">
      <alignment vertical="center"/>
    </xf>
    <xf numFmtId="0" fontId="2" fillId="18" borderId="5" xfId="0" applyFont="1" applyFill="1" applyBorder="1" applyAlignment="1">
      <alignment horizontal="center" vertical="center" wrapText="1"/>
    </xf>
    <xf numFmtId="0" fontId="2" fillId="18" borderId="17" xfId="0" applyFont="1" applyFill="1" applyBorder="1" applyAlignment="1">
      <alignment horizontal="center" vertical="center" wrapText="1"/>
    </xf>
    <xf numFmtId="0" fontId="2" fillId="18" borderId="12" xfId="0" applyFont="1" applyFill="1" applyBorder="1" applyAlignment="1">
      <alignment horizontal="center" vertical="center"/>
    </xf>
    <xf numFmtId="0" fontId="10" fillId="18" borderId="21" xfId="0" applyFont="1" applyFill="1" applyBorder="1" applyAlignment="1">
      <alignment vertical="center"/>
    </xf>
    <xf numFmtId="0" fontId="2" fillId="0" borderId="24" xfId="0" applyFont="1" applyBorder="1" applyAlignment="1">
      <alignment horizontal="center" vertical="center"/>
    </xf>
    <xf numFmtId="0" fontId="4" fillId="0" borderId="25" xfId="0" applyFont="1" applyBorder="1" applyAlignment="1">
      <alignment vertical="center"/>
    </xf>
    <xf numFmtId="0" fontId="3" fillId="20" borderId="5" xfId="0" applyFont="1" applyFill="1" applyBorder="1" applyAlignment="1">
      <alignment horizontal="center" vertical="center"/>
    </xf>
    <xf numFmtId="0" fontId="3" fillId="20" borderId="17" xfId="0" applyFont="1" applyFill="1" applyBorder="1" applyAlignment="1">
      <alignment horizontal="center" vertical="center"/>
    </xf>
    <xf numFmtId="0" fontId="3" fillId="21" borderId="5" xfId="0" applyFont="1" applyFill="1" applyBorder="1" applyAlignment="1">
      <alignment horizontal="center" vertical="center"/>
    </xf>
    <xf numFmtId="0" fontId="2" fillId="22" borderId="12" xfId="0" applyFont="1" applyFill="1" applyBorder="1" applyAlignment="1">
      <alignment vertical="center"/>
    </xf>
    <xf numFmtId="0" fontId="2" fillId="22" borderId="21" xfId="0" applyFont="1" applyFill="1" applyBorder="1" applyAlignment="1">
      <alignment horizontal="center" vertical="center"/>
    </xf>
    <xf numFmtId="0" fontId="2" fillId="23" borderId="12" xfId="0" applyFont="1" applyFill="1" applyBorder="1" applyAlignment="1">
      <alignment vertical="center"/>
    </xf>
    <xf numFmtId="0" fontId="2" fillId="0" borderId="4"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horizontal="center" vertical="center"/>
    </xf>
    <xf numFmtId="0" fontId="3" fillId="24" borderId="5" xfId="0" applyFont="1" applyFill="1" applyBorder="1" applyAlignment="1">
      <alignment horizontal="center" vertical="center"/>
    </xf>
    <xf numFmtId="0" fontId="3" fillId="25" borderId="5" xfId="0" applyFont="1" applyFill="1" applyBorder="1" applyAlignment="1">
      <alignment horizontal="center" vertical="center"/>
    </xf>
    <xf numFmtId="0" fontId="3" fillId="25" borderId="17" xfId="0" applyFont="1" applyFill="1" applyBorder="1" applyAlignment="1">
      <alignment horizontal="center" vertical="center"/>
    </xf>
    <xf numFmtId="0" fontId="2" fillId="26" borderId="12" xfId="0" applyFont="1" applyFill="1" applyBorder="1" applyAlignment="1">
      <alignment vertical="center"/>
    </xf>
    <xf numFmtId="0" fontId="2" fillId="27" borderId="12" xfId="0" applyFont="1" applyFill="1" applyBorder="1" applyAlignment="1">
      <alignment vertical="center"/>
    </xf>
    <xf numFmtId="0" fontId="2" fillId="27" borderId="21" xfId="0" applyFont="1" applyFill="1" applyBorder="1" applyAlignment="1">
      <alignment horizontal="center" vertical="center"/>
    </xf>
    <xf numFmtId="0" fontId="2" fillId="2" borderId="13" xfId="0" applyFont="1" applyFill="1" applyBorder="1" applyAlignment="1">
      <alignment vertical="center"/>
    </xf>
    <xf numFmtId="0" fontId="2" fillId="27" borderId="24" xfId="0" applyFont="1" applyFill="1" applyBorder="1" applyAlignment="1">
      <alignment vertical="center"/>
    </xf>
    <xf numFmtId="0" fontId="2" fillId="27" borderId="25" xfId="0" applyFont="1" applyFill="1" applyBorder="1" applyAlignment="1">
      <alignment horizontal="center" vertical="center"/>
    </xf>
    <xf numFmtId="0" fontId="2" fillId="0" borderId="4" xfId="0" applyFont="1" applyBorder="1" applyAlignment="1">
      <alignment horizontal="center" vertical="center"/>
    </xf>
    <xf numFmtId="0" fontId="2" fillId="6" borderId="13" xfId="0" applyFont="1" applyFill="1" applyBorder="1" applyAlignment="1">
      <alignment vertical="center"/>
    </xf>
    <xf numFmtId="0" fontId="3" fillId="21" borderId="17" xfId="0" applyFont="1" applyFill="1" applyBorder="1" applyAlignment="1">
      <alignment horizontal="center" vertical="center"/>
    </xf>
    <xf numFmtId="0" fontId="2" fillId="23" borderId="21" xfId="0" applyFont="1" applyFill="1" applyBorder="1" applyAlignment="1">
      <alignment horizontal="center" vertical="center"/>
    </xf>
    <xf numFmtId="0" fontId="3" fillId="24" borderId="17" xfId="0" applyFont="1" applyFill="1" applyBorder="1" applyAlignment="1">
      <alignment horizontal="center" vertical="center"/>
    </xf>
    <xf numFmtId="0" fontId="2" fillId="26" borderId="21"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11" borderId="49" xfId="0" applyFont="1" applyFill="1" applyBorder="1" applyAlignment="1">
      <alignment horizontal="center" vertical="center"/>
    </xf>
    <xf numFmtId="0" fontId="17" fillId="11" borderId="50" xfId="0" applyFont="1" applyFill="1" applyBorder="1" applyAlignment="1">
      <alignment horizontal="center" vertical="center"/>
    </xf>
    <xf numFmtId="0" fontId="17" fillId="31" borderId="49" xfId="0" applyFont="1" applyFill="1" applyBorder="1" applyAlignment="1">
      <alignment horizontal="center" vertical="center"/>
    </xf>
    <xf numFmtId="0" fontId="17" fillId="18" borderId="38" xfId="0" applyFont="1" applyFill="1" applyBorder="1" applyAlignment="1">
      <alignment horizontal="center" vertical="center"/>
    </xf>
    <xf numFmtId="0" fontId="18" fillId="33" borderId="19" xfId="0" applyFont="1" applyFill="1" applyBorder="1" applyAlignment="1">
      <alignment vertical="center"/>
    </xf>
    <xf numFmtId="0" fontId="19" fillId="29" borderId="5" xfId="0" applyFont="1" applyFill="1" applyBorder="1" applyAlignment="1">
      <alignment horizontal="center" vertical="center"/>
    </xf>
    <xf numFmtId="0" fontId="18" fillId="30" borderId="6" xfId="0" applyFont="1" applyFill="1" applyBorder="1" applyAlignment="1" applyProtection="1">
      <alignment horizontal="center" vertical="center"/>
      <protection locked="0"/>
    </xf>
    <xf numFmtId="0" fontId="20" fillId="30" borderId="17" xfId="0" applyFont="1" applyFill="1" applyBorder="1" applyAlignment="1" applyProtection="1">
      <alignment horizontal="left" vertical="center" indent="1"/>
      <protection locked="0"/>
    </xf>
    <xf numFmtId="0" fontId="17" fillId="18" borderId="12" xfId="0" applyFont="1" applyFill="1" applyBorder="1" applyAlignment="1">
      <alignment horizontal="center" vertical="center"/>
    </xf>
    <xf numFmtId="0" fontId="18" fillId="33" borderId="54" xfId="0" applyFont="1" applyFill="1" applyBorder="1" applyAlignment="1">
      <alignment vertical="center"/>
    </xf>
    <xf numFmtId="0" fontId="19" fillId="29" borderId="12" xfId="0" applyFont="1" applyFill="1" applyBorder="1" applyAlignment="1">
      <alignment horizontal="center" vertical="center"/>
    </xf>
    <xf numFmtId="0" fontId="18" fillId="30" borderId="13" xfId="0" applyFont="1" applyFill="1" applyBorder="1" applyAlignment="1" applyProtection="1">
      <alignment horizontal="center" vertical="center"/>
      <protection locked="0"/>
    </xf>
    <xf numFmtId="0" fontId="20" fillId="30" borderId="21" xfId="0" applyFont="1" applyFill="1" applyBorder="1" applyAlignment="1" applyProtection="1">
      <alignment horizontal="left" vertical="center" indent="1"/>
      <protection locked="0"/>
    </xf>
    <xf numFmtId="0" fontId="17" fillId="18" borderId="35" xfId="0" applyFont="1" applyFill="1" applyBorder="1" applyAlignment="1">
      <alignment horizontal="center" vertical="center"/>
    </xf>
    <xf numFmtId="0" fontId="18" fillId="33" borderId="15" xfId="0" applyFont="1" applyFill="1" applyBorder="1" applyAlignment="1">
      <alignment vertical="center"/>
    </xf>
    <xf numFmtId="0" fontId="17" fillId="3" borderId="5" xfId="0" applyFont="1" applyFill="1" applyBorder="1" applyAlignment="1">
      <alignment horizontal="center" vertical="center"/>
    </xf>
    <xf numFmtId="0" fontId="17" fillId="8" borderId="7" xfId="0" applyFont="1" applyFill="1" applyBorder="1" applyAlignment="1" applyProtection="1">
      <alignment vertical="center"/>
      <protection locked="0"/>
    </xf>
    <xf numFmtId="0" fontId="19" fillId="29" borderId="38" xfId="0" applyFont="1" applyFill="1" applyBorder="1" applyAlignment="1">
      <alignment horizontal="center" vertical="center"/>
    </xf>
    <xf numFmtId="0" fontId="18" fillId="30" borderId="52" xfId="0" applyFont="1" applyFill="1" applyBorder="1" applyAlignment="1" applyProtection="1">
      <alignment horizontal="center" vertical="center"/>
      <protection locked="0"/>
    </xf>
    <xf numFmtId="0" fontId="20" fillId="30" borderId="47" xfId="0" applyFont="1" applyFill="1" applyBorder="1" applyAlignment="1" applyProtection="1">
      <alignment horizontal="left" vertical="center" indent="1"/>
      <protection locked="0"/>
    </xf>
    <xf numFmtId="0" fontId="17" fillId="3" borderId="12" xfId="0" applyFont="1" applyFill="1" applyBorder="1" applyAlignment="1">
      <alignment horizontal="center" vertical="center"/>
    </xf>
    <xf numFmtId="0" fontId="17" fillId="8" borderId="53" xfId="0" applyFont="1" applyFill="1" applyBorder="1" applyAlignment="1" applyProtection="1">
      <alignment vertical="center"/>
      <protection locked="0"/>
    </xf>
    <xf numFmtId="0" fontId="18" fillId="34" borderId="12" xfId="0" applyFont="1" applyFill="1" applyBorder="1" applyAlignment="1">
      <alignment horizontal="center" vertical="center"/>
    </xf>
    <xf numFmtId="0" fontId="18" fillId="13" borderId="13" xfId="0" applyFont="1" applyFill="1" applyBorder="1" applyAlignment="1" applyProtection="1">
      <alignment horizontal="center" vertical="center"/>
      <protection locked="0"/>
    </xf>
    <xf numFmtId="0" fontId="23" fillId="13" borderId="21" xfId="0" applyFont="1" applyFill="1" applyBorder="1" applyAlignment="1" applyProtection="1">
      <alignment horizontal="left" vertical="center" indent="1"/>
      <protection locked="0"/>
    </xf>
    <xf numFmtId="0" fontId="24" fillId="3" borderId="24" xfId="0" applyFont="1" applyFill="1" applyBorder="1" applyAlignment="1">
      <alignment horizontal="center" vertical="center"/>
    </xf>
    <xf numFmtId="0" fontId="17" fillId="8" borderId="57" xfId="0" applyFont="1" applyFill="1" applyBorder="1" applyAlignment="1" applyProtection="1">
      <alignment vertical="center"/>
      <protection locked="0"/>
    </xf>
    <xf numFmtId="0" fontId="16" fillId="8" borderId="58" xfId="0" applyFont="1" applyFill="1" applyBorder="1" applyAlignment="1">
      <alignment vertical="center"/>
    </xf>
    <xf numFmtId="0" fontId="25" fillId="8" borderId="57" xfId="0" applyFont="1" applyFill="1" applyBorder="1" applyAlignment="1" applyProtection="1">
      <alignment horizontal="center" vertical="center"/>
      <protection locked="0"/>
    </xf>
    <xf numFmtId="0" fontId="18" fillId="34" borderId="24" xfId="0" applyFont="1" applyFill="1" applyBorder="1" applyAlignment="1">
      <alignment horizontal="center" vertical="center"/>
    </xf>
    <xf numFmtId="0" fontId="17" fillId="16" borderId="38" xfId="0" applyFont="1" applyFill="1" applyBorder="1" applyAlignment="1">
      <alignment horizontal="center" vertical="center" wrapText="1"/>
    </xf>
    <xf numFmtId="0" fontId="24" fillId="11" borderId="12" xfId="0" applyFont="1" applyFill="1" applyBorder="1" applyAlignment="1">
      <alignment horizontal="center" vertical="center"/>
    </xf>
    <xf numFmtId="0" fontId="17" fillId="9" borderId="24" xfId="0" applyFont="1" applyFill="1" applyBorder="1" applyAlignment="1">
      <alignment horizontal="center" vertical="center"/>
    </xf>
    <xf numFmtId="0" fontId="42" fillId="0" borderId="0" xfId="0" applyFont="1" applyAlignment="1">
      <alignment horizontal="center" vertical="center"/>
    </xf>
    <xf numFmtId="0" fontId="73" fillId="0" borderId="0" xfId="0" applyFont="1" applyAlignment="1">
      <alignment vertical="center"/>
    </xf>
    <xf numFmtId="0" fontId="12" fillId="0" borderId="0" xfId="0" applyFont="1" applyAlignment="1">
      <alignment horizontal="center" vertical="center"/>
    </xf>
    <xf numFmtId="0" fontId="75" fillId="0" borderId="0" xfId="0" applyFont="1" applyAlignment="1">
      <alignment horizontal="center" vertical="center"/>
    </xf>
    <xf numFmtId="0" fontId="76" fillId="50" borderId="79" xfId="0" applyFont="1" applyFill="1" applyBorder="1" applyAlignment="1" applyProtection="1">
      <alignment horizontal="center" vertical="center" wrapText="1"/>
      <protection locked="0"/>
    </xf>
    <xf numFmtId="0" fontId="76" fillId="50" borderId="80" xfId="0" applyFont="1" applyFill="1" applyBorder="1" applyAlignment="1" applyProtection="1">
      <alignment horizontal="center" vertical="center" wrapText="1"/>
      <protection locked="0"/>
    </xf>
    <xf numFmtId="0" fontId="76" fillId="50" borderId="81" xfId="0" applyFont="1" applyFill="1" applyBorder="1" applyAlignment="1" applyProtection="1">
      <alignment horizontal="center" vertical="center" wrapText="1"/>
      <protection locked="0"/>
    </xf>
    <xf numFmtId="0" fontId="76" fillId="37" borderId="79" xfId="0" applyFont="1" applyFill="1" applyBorder="1" applyAlignment="1" applyProtection="1">
      <alignment horizontal="center" vertical="center" wrapText="1"/>
      <protection locked="0"/>
    </xf>
    <xf numFmtId="0" fontId="60" fillId="37" borderId="80" xfId="0" applyFont="1" applyFill="1" applyBorder="1" applyAlignment="1" applyProtection="1">
      <alignment horizontal="center" vertical="center" wrapText="1"/>
      <protection locked="0"/>
    </xf>
    <xf numFmtId="0" fontId="76" fillId="37" borderId="80" xfId="0" applyFont="1" applyFill="1" applyBorder="1" applyAlignment="1" applyProtection="1">
      <alignment horizontal="center" vertical="center" wrapText="1"/>
      <protection locked="0"/>
    </xf>
    <xf numFmtId="0" fontId="76" fillId="37" borderId="81" xfId="0" applyFont="1" applyFill="1" applyBorder="1" applyAlignment="1" applyProtection="1">
      <alignment horizontal="center" vertical="center" wrapText="1"/>
      <protection locked="0"/>
    </xf>
    <xf numFmtId="0" fontId="77" fillId="43" borderId="79" xfId="0" applyFont="1" applyFill="1" applyBorder="1" applyAlignment="1" applyProtection="1">
      <alignment horizontal="center" vertical="center" wrapText="1"/>
      <protection locked="0"/>
    </xf>
    <xf numFmtId="0" fontId="60" fillId="43" borderId="80" xfId="0" applyFont="1" applyFill="1" applyBorder="1" applyAlignment="1" applyProtection="1">
      <alignment horizontal="center" vertical="center" wrapText="1"/>
      <protection locked="0"/>
    </xf>
    <xf numFmtId="0" fontId="77" fillId="43" borderId="80" xfId="0" applyFont="1" applyFill="1" applyBorder="1" applyAlignment="1" applyProtection="1">
      <alignment horizontal="center" vertical="center" wrapText="1"/>
      <protection locked="0"/>
    </xf>
    <xf numFmtId="0" fontId="77" fillId="43" borderId="81" xfId="0" applyFont="1" applyFill="1" applyBorder="1" applyAlignment="1" applyProtection="1">
      <alignment horizontal="center" vertical="center" wrapText="1"/>
      <protection locked="0"/>
    </xf>
    <xf numFmtId="0" fontId="76" fillId="54" borderId="79" xfId="0" applyFont="1" applyFill="1" applyBorder="1" applyAlignment="1" applyProtection="1">
      <alignment horizontal="center" vertical="center" wrapText="1"/>
      <protection locked="0"/>
    </xf>
    <xf numFmtId="0" fontId="76" fillId="54" borderId="80" xfId="0" applyFont="1" applyFill="1" applyBorder="1" applyAlignment="1" applyProtection="1">
      <alignment horizontal="center" vertical="center" wrapText="1"/>
      <protection locked="0"/>
    </xf>
    <xf numFmtId="0" fontId="76" fillId="54" borderId="81" xfId="0" applyFont="1" applyFill="1" applyBorder="1" applyAlignment="1" applyProtection="1">
      <alignment horizontal="center" vertical="center" wrapText="1"/>
      <protection locked="0"/>
    </xf>
    <xf numFmtId="0" fontId="74" fillId="0" borderId="0" xfId="0" applyFont="1" applyAlignment="1">
      <alignment horizontal="left" vertical="center"/>
    </xf>
    <xf numFmtId="0" fontId="11" fillId="0" borderId="0" xfId="0" applyFont="1" applyAlignment="1">
      <alignment horizontal="left" vertical="center"/>
    </xf>
    <xf numFmtId="0" fontId="61" fillId="0" borderId="0" xfId="0" applyFont="1" applyAlignment="1">
      <alignment vertical="center"/>
    </xf>
    <xf numFmtId="0" fontId="61" fillId="0" borderId="0" xfId="0" applyFont="1" applyAlignment="1">
      <alignment horizontal="right" vertical="center"/>
    </xf>
    <xf numFmtId="0" fontId="78" fillId="50" borderId="78" xfId="0" applyFont="1" applyFill="1" applyBorder="1" applyAlignment="1">
      <alignment horizontal="center" vertical="center" wrapText="1"/>
    </xf>
    <xf numFmtId="0" fontId="78" fillId="37" borderId="78" xfId="0" applyFont="1" applyFill="1" applyBorder="1" applyAlignment="1">
      <alignment horizontal="center" vertical="center" wrapText="1"/>
    </xf>
    <xf numFmtId="0" fontId="78" fillId="43" borderId="78" xfId="0" applyFont="1" applyFill="1" applyBorder="1" applyAlignment="1">
      <alignment horizontal="center" vertical="center" wrapText="1"/>
    </xf>
    <xf numFmtId="0" fontId="78" fillId="54" borderId="78" xfId="0" applyFont="1" applyFill="1" applyBorder="1" applyAlignment="1">
      <alignment horizontal="center" vertical="center" wrapText="1"/>
    </xf>
    <xf numFmtId="0" fontId="78" fillId="55" borderId="78" xfId="0" applyFont="1" applyFill="1" applyBorder="1" applyAlignment="1">
      <alignment horizontal="center" vertical="center" wrapText="1"/>
    </xf>
    <xf numFmtId="0" fontId="77" fillId="55" borderId="79" xfId="0" applyFont="1" applyFill="1" applyBorder="1" applyAlignment="1" applyProtection="1">
      <alignment horizontal="center" vertical="center" wrapText="1"/>
      <protection locked="0"/>
    </xf>
    <xf numFmtId="0" fontId="53" fillId="55" borderId="80" xfId="0" applyFont="1" applyFill="1" applyBorder="1" applyAlignment="1" applyProtection="1">
      <alignment horizontal="center" vertical="center" wrapText="1"/>
      <protection locked="0"/>
    </xf>
    <xf numFmtId="0" fontId="77" fillId="55" borderId="80" xfId="0" applyFont="1" applyFill="1" applyBorder="1" applyAlignment="1" applyProtection="1">
      <alignment horizontal="center" vertical="center" wrapText="1"/>
      <protection locked="0"/>
    </xf>
    <xf numFmtId="0" fontId="77" fillId="55" borderId="81" xfId="0" applyFont="1" applyFill="1" applyBorder="1" applyAlignment="1" applyProtection="1">
      <alignment horizontal="center" vertical="center" wrapText="1"/>
      <protection locked="0"/>
    </xf>
    <xf numFmtId="0" fontId="2" fillId="0" borderId="53" xfId="0" applyFont="1" applyBorder="1" applyAlignment="1">
      <alignment horizontal="center" vertical="center"/>
    </xf>
    <xf numFmtId="0" fontId="2" fillId="2" borderId="53" xfId="0" applyFont="1" applyFill="1" applyBorder="1" applyAlignment="1">
      <alignment horizontal="center" vertical="center"/>
    </xf>
    <xf numFmtId="0" fontId="2" fillId="6" borderId="53" xfId="0" applyFont="1" applyFill="1" applyBorder="1" applyAlignment="1">
      <alignment horizontal="center" vertical="center"/>
    </xf>
    <xf numFmtId="0" fontId="3" fillId="19" borderId="82" xfId="0" applyFont="1" applyFill="1" applyBorder="1" applyAlignment="1">
      <alignment horizontal="center" vertical="center"/>
    </xf>
    <xf numFmtId="0" fontId="2" fillId="0" borderId="83" xfId="0" applyFont="1" applyBorder="1" applyAlignment="1">
      <alignment horizontal="center" vertical="center"/>
    </xf>
    <xf numFmtId="0" fontId="2" fillId="2" borderId="83" xfId="0" applyFont="1" applyFill="1" applyBorder="1" applyAlignment="1">
      <alignment horizontal="center" vertical="center"/>
    </xf>
    <xf numFmtId="0" fontId="2" fillId="6" borderId="83" xfId="0" applyFont="1" applyFill="1" applyBorder="1" applyAlignment="1">
      <alignment horizontal="center" vertical="center"/>
    </xf>
    <xf numFmtId="0" fontId="2" fillId="0" borderId="83" xfId="0" applyFont="1" applyBorder="1" applyAlignment="1">
      <alignment horizontal="center" vertical="center" wrapText="1"/>
    </xf>
    <xf numFmtId="0" fontId="2" fillId="0" borderId="84" xfId="0" applyFont="1" applyBorder="1" applyAlignment="1">
      <alignment horizontal="center" vertical="center" wrapText="1"/>
    </xf>
    <xf numFmtId="0" fontId="2" fillId="55" borderId="0" xfId="0" applyFont="1" applyFill="1" applyAlignment="1">
      <alignment vertical="center"/>
    </xf>
    <xf numFmtId="0" fontId="2" fillId="55" borderId="0" xfId="0" applyFont="1" applyFill="1" applyAlignment="1">
      <alignment horizontal="center" vertical="center"/>
    </xf>
    <xf numFmtId="0" fontId="2" fillId="0" borderId="55" xfId="0" applyFont="1" applyBorder="1" applyAlignment="1">
      <alignment vertical="center"/>
    </xf>
    <xf numFmtId="0" fontId="2" fillId="0" borderId="1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44" borderId="73" xfId="0" applyFont="1" applyFill="1" applyBorder="1" applyAlignment="1">
      <alignment horizontal="center" vertical="center"/>
    </xf>
    <xf numFmtId="0" fontId="2" fillId="0" borderId="73" xfId="0" applyFont="1" applyBorder="1" applyAlignment="1">
      <alignment vertical="center"/>
    </xf>
    <xf numFmtId="0" fontId="2" fillId="0" borderId="52" xfId="0" applyFont="1" applyBorder="1" applyAlignment="1">
      <alignment vertical="center"/>
    </xf>
    <xf numFmtId="0" fontId="2" fillId="0" borderId="18" xfId="0" applyFont="1" applyBorder="1" applyAlignment="1">
      <alignment horizontal="center" vertical="center"/>
    </xf>
    <xf numFmtId="0" fontId="2" fillId="0" borderId="91" xfId="0" applyFont="1" applyBorder="1" applyAlignment="1">
      <alignment vertical="center"/>
    </xf>
    <xf numFmtId="0" fontId="2" fillId="0" borderId="92" xfId="0" applyFont="1" applyBorder="1" applyAlignment="1">
      <alignment horizontal="center" vertical="center"/>
    </xf>
    <xf numFmtId="0" fontId="2" fillId="0" borderId="82" xfId="0" applyFont="1" applyBorder="1" applyAlignment="1">
      <alignment horizontal="center" vertical="center"/>
    </xf>
    <xf numFmtId="0" fontId="4" fillId="0" borderId="95" xfId="0" applyFont="1" applyBorder="1" applyAlignment="1">
      <alignment vertical="center"/>
    </xf>
    <xf numFmtId="0" fontId="2" fillId="0" borderId="96" xfId="0" applyFont="1" applyBorder="1" applyAlignment="1">
      <alignment horizontal="center" vertical="center"/>
    </xf>
    <xf numFmtId="0" fontId="2" fillId="0" borderId="84" xfId="0" applyFont="1" applyBorder="1" applyAlignment="1">
      <alignment horizontal="center" vertical="center"/>
    </xf>
    <xf numFmtId="0" fontId="2" fillId="0" borderId="100" xfId="0" applyFont="1" applyBorder="1" applyAlignment="1">
      <alignment horizontal="center" vertical="center"/>
    </xf>
    <xf numFmtId="0" fontId="2" fillId="0" borderId="97" xfId="0" applyFont="1" applyBorder="1" applyAlignment="1">
      <alignment vertical="center"/>
    </xf>
    <xf numFmtId="0" fontId="2" fillId="2" borderId="98" xfId="0" applyFont="1" applyFill="1" applyBorder="1" applyAlignment="1">
      <alignment vertical="center"/>
    </xf>
    <xf numFmtId="0" fontId="2" fillId="0" borderId="99" xfId="0" applyFont="1" applyBorder="1" applyAlignment="1">
      <alignment vertical="center"/>
    </xf>
    <xf numFmtId="0" fontId="2" fillId="0" borderId="95" xfId="0" applyFont="1" applyBorder="1" applyAlignment="1">
      <alignment vertical="center"/>
    </xf>
    <xf numFmtId="0" fontId="3" fillId="11" borderId="92" xfId="0" applyFont="1" applyFill="1" applyBorder="1" applyAlignment="1">
      <alignment horizontal="center" vertical="center"/>
    </xf>
    <xf numFmtId="0" fontId="3" fillId="11" borderId="82"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84" xfId="0" applyFont="1" applyFill="1" applyBorder="1" applyAlignment="1">
      <alignment horizontal="center" vertical="center"/>
    </xf>
    <xf numFmtId="0" fontId="3" fillId="19" borderId="92" xfId="0" applyFont="1" applyFill="1" applyBorder="1" applyAlignment="1">
      <alignment horizontal="center" vertical="center"/>
    </xf>
    <xf numFmtId="0" fontId="78" fillId="56" borderId="78" xfId="0" applyFont="1" applyFill="1" applyBorder="1" applyAlignment="1">
      <alignment horizontal="center" vertical="center" wrapText="1"/>
    </xf>
    <xf numFmtId="0" fontId="76" fillId="56" borderId="79" xfId="0" applyFont="1" applyFill="1" applyBorder="1" applyAlignment="1" applyProtection="1">
      <alignment horizontal="center" vertical="center" wrapText="1"/>
      <protection locked="0"/>
    </xf>
    <xf numFmtId="0" fontId="76" fillId="56" borderId="80" xfId="0" applyFont="1" applyFill="1" applyBorder="1" applyAlignment="1" applyProtection="1">
      <alignment horizontal="center" vertical="center" wrapText="1"/>
      <protection locked="0"/>
    </xf>
    <xf numFmtId="0" fontId="76" fillId="56" borderId="81" xfId="0" applyFont="1" applyFill="1" applyBorder="1" applyAlignment="1" applyProtection="1">
      <alignment horizontal="center" vertical="center" wrapText="1"/>
      <protection locked="0"/>
    </xf>
    <xf numFmtId="0" fontId="73" fillId="0" borderId="0" xfId="0" applyFont="1" applyAlignment="1">
      <alignment horizontal="left" vertical="center"/>
    </xf>
    <xf numFmtId="0" fontId="80" fillId="0" borderId="0" xfId="0" applyFont="1" applyAlignment="1">
      <alignment vertical="center"/>
    </xf>
    <xf numFmtId="0" fontId="80" fillId="0" borderId="0" xfId="0" applyFont="1" applyAlignment="1">
      <alignment horizontal="center" vertical="center"/>
    </xf>
    <xf numFmtId="0" fontId="80" fillId="0" borderId="0" xfId="0" applyFont="1" applyAlignment="1">
      <alignment horizontal="center" vertical="center" wrapText="1"/>
    </xf>
    <xf numFmtId="0" fontId="38" fillId="0" borderId="0" xfId="0" applyFont="1" applyAlignment="1">
      <alignment horizontal="center" vertical="center"/>
    </xf>
    <xf numFmtId="0" fontId="38" fillId="0" borderId="105" xfId="0" applyFont="1" applyBorder="1" applyAlignment="1">
      <alignment horizontal="center" vertical="center"/>
    </xf>
    <xf numFmtId="0" fontId="38" fillId="43" borderId="111" xfId="0" applyFont="1" applyFill="1" applyBorder="1" applyAlignment="1">
      <alignment horizontal="center" vertical="center"/>
    </xf>
    <xf numFmtId="0" fontId="38" fillId="16" borderId="111" xfId="0" applyFont="1" applyFill="1" applyBorder="1" applyAlignment="1">
      <alignment horizontal="center" vertical="center"/>
    </xf>
    <xf numFmtId="0" fontId="38" fillId="0" borderId="0" xfId="0" applyFont="1" applyAlignment="1">
      <alignment vertical="center"/>
    </xf>
    <xf numFmtId="0" fontId="80" fillId="0" borderId="105" xfId="0" applyFont="1" applyBorder="1" applyAlignment="1">
      <alignment horizontal="center" vertical="center"/>
    </xf>
    <xf numFmtId="0" fontId="80" fillId="2" borderId="105" xfId="0" applyFont="1" applyFill="1" applyBorder="1" applyAlignment="1">
      <alignment horizontal="center" vertical="center"/>
    </xf>
    <xf numFmtId="0" fontId="80" fillId="0" borderId="118" xfId="0" applyFont="1" applyBorder="1" applyAlignment="1">
      <alignment horizontal="center" vertical="center"/>
    </xf>
    <xf numFmtId="0" fontId="80" fillId="0" borderId="106" xfId="0" applyFont="1" applyBorder="1" applyAlignment="1">
      <alignment horizontal="center" vertical="center"/>
    </xf>
    <xf numFmtId="0" fontId="80" fillId="0" borderId="109" xfId="0" applyFont="1" applyBorder="1" applyAlignment="1">
      <alignment horizontal="center" vertical="center"/>
    </xf>
    <xf numFmtId="0" fontId="80" fillId="0" borderId="121" xfId="0" applyFont="1" applyBorder="1" applyAlignment="1">
      <alignment horizontal="left" vertical="center" indent="1"/>
    </xf>
    <xf numFmtId="0" fontId="80" fillId="2" borderId="122" xfId="0" applyFont="1" applyFill="1" applyBorder="1" applyAlignment="1">
      <alignment horizontal="left" vertical="center" indent="1"/>
    </xf>
    <xf numFmtId="0" fontId="80" fillId="2" borderId="109" xfId="0" applyFont="1" applyFill="1" applyBorder="1" applyAlignment="1">
      <alignment horizontal="center" vertical="center"/>
    </xf>
    <xf numFmtId="0" fontId="79" fillId="57" borderId="106" xfId="0" applyFont="1" applyFill="1" applyBorder="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82" fillId="2" borderId="105" xfId="0" applyFont="1" applyFill="1" applyBorder="1" applyAlignment="1">
      <alignment vertical="center"/>
    </xf>
    <xf numFmtId="0" fontId="82" fillId="6" borderId="105" xfId="0" applyFont="1" applyFill="1" applyBorder="1" applyAlignment="1">
      <alignment vertical="center"/>
    </xf>
    <xf numFmtId="0" fontId="80" fillId="6" borderId="105" xfId="0" applyFont="1" applyFill="1" applyBorder="1" applyAlignment="1">
      <alignment horizontal="center" vertical="center"/>
    </xf>
    <xf numFmtId="0" fontId="82" fillId="0" borderId="109" xfId="0" applyFont="1" applyBorder="1" applyAlignment="1">
      <alignment vertical="center"/>
    </xf>
    <xf numFmtId="0" fontId="82" fillId="0" borderId="117" xfId="0" applyFont="1" applyBorder="1" applyAlignment="1">
      <alignment vertical="center"/>
    </xf>
    <xf numFmtId="0" fontId="80" fillId="0" borderId="117" xfId="0" applyFont="1" applyBorder="1" applyAlignment="1">
      <alignment horizontal="center" vertical="center"/>
    </xf>
    <xf numFmtId="0" fontId="82" fillId="0" borderId="106" xfId="0" applyFont="1" applyBorder="1" applyAlignment="1">
      <alignment vertical="center"/>
    </xf>
    <xf numFmtId="0" fontId="82" fillId="0" borderId="118" xfId="0" applyFont="1" applyBorder="1" applyAlignment="1">
      <alignment vertical="center"/>
    </xf>
    <xf numFmtId="0" fontId="38" fillId="0" borderId="117" xfId="0" applyFont="1" applyBorder="1" applyAlignment="1">
      <alignment horizontal="center" vertical="center"/>
    </xf>
    <xf numFmtId="0" fontId="38" fillId="55" borderId="105" xfId="0" applyFont="1" applyFill="1" applyBorder="1" applyAlignment="1">
      <alignment horizontal="center" vertical="center"/>
    </xf>
    <xf numFmtId="0" fontId="80" fillId="58" borderId="105" xfId="0" applyFont="1" applyFill="1" applyBorder="1" applyAlignment="1">
      <alignment horizontal="center" vertical="center"/>
    </xf>
    <xf numFmtId="0" fontId="80" fillId="43" borderId="0" xfId="0" applyFont="1" applyFill="1" applyAlignment="1">
      <alignment horizontal="center" vertical="center"/>
    </xf>
    <xf numFmtId="0" fontId="69" fillId="51" borderId="119" xfId="0" applyFont="1" applyFill="1" applyBorder="1" applyAlignment="1">
      <alignment horizontal="center" vertical="center"/>
    </xf>
    <xf numFmtId="0" fontId="80" fillId="16" borderId="105" xfId="0" applyFont="1" applyFill="1" applyBorder="1" applyAlignment="1">
      <alignment horizontal="center" vertical="center"/>
    </xf>
    <xf numFmtId="0" fontId="85" fillId="60" borderId="106" xfId="0" applyFont="1" applyFill="1" applyBorder="1" applyAlignment="1">
      <alignment horizontal="center" vertical="center"/>
    </xf>
    <xf numFmtId="0" fontId="85" fillId="60" borderId="107" xfId="0" applyFont="1" applyFill="1" applyBorder="1" applyAlignment="1">
      <alignment horizontal="center" vertical="center"/>
    </xf>
    <xf numFmtId="0" fontId="38" fillId="46" borderId="3" xfId="0" applyFont="1" applyFill="1" applyBorder="1" applyAlignment="1">
      <alignment vertical="center"/>
    </xf>
    <xf numFmtId="0" fontId="38" fillId="46" borderId="4" xfId="0" applyFont="1" applyFill="1" applyBorder="1" applyAlignment="1">
      <alignment vertical="center"/>
    </xf>
    <xf numFmtId="0" fontId="38" fillId="56" borderId="3" xfId="0" applyFont="1" applyFill="1" applyBorder="1" applyAlignment="1">
      <alignment vertical="center"/>
    </xf>
    <xf numFmtId="0" fontId="38" fillId="56" borderId="4" xfId="0" applyFont="1" applyFill="1" applyBorder="1" applyAlignment="1">
      <alignment vertical="center"/>
    </xf>
    <xf numFmtId="0" fontId="38" fillId="43" borderId="1" xfId="0" applyFont="1" applyFill="1" applyBorder="1" applyAlignment="1">
      <alignment vertical="center"/>
    </xf>
    <xf numFmtId="0" fontId="38" fillId="43" borderId="2" xfId="0" applyFont="1" applyFill="1" applyBorder="1" applyAlignment="1">
      <alignment vertical="center"/>
    </xf>
    <xf numFmtId="0" fontId="38" fillId="43" borderId="3" xfId="0" applyFont="1" applyFill="1" applyBorder="1" applyAlignment="1">
      <alignment vertical="center"/>
    </xf>
    <xf numFmtId="0" fontId="38" fillId="43" borderId="0" xfId="0" applyFont="1" applyFill="1" applyAlignment="1">
      <alignment vertical="center"/>
    </xf>
    <xf numFmtId="0" fontId="38" fillId="43" borderId="4" xfId="0" applyFont="1" applyFill="1" applyBorder="1" applyAlignment="1">
      <alignment vertical="center"/>
    </xf>
    <xf numFmtId="0" fontId="38" fillId="43" borderId="0" xfId="0" applyFont="1" applyFill="1" applyAlignment="1">
      <alignment horizontal="center" vertical="center"/>
    </xf>
    <xf numFmtId="0" fontId="38" fillId="43" borderId="10" xfId="0" applyFont="1" applyFill="1" applyBorder="1" applyAlignment="1">
      <alignment vertical="center"/>
    </xf>
    <xf numFmtId="0" fontId="38" fillId="43" borderId="28" xfId="0" applyFont="1" applyFill="1" applyBorder="1" applyAlignment="1">
      <alignment vertical="center"/>
    </xf>
    <xf numFmtId="0" fontId="38" fillId="43" borderId="28" xfId="0" applyFont="1" applyFill="1" applyBorder="1" applyAlignment="1">
      <alignment horizontal="center" vertical="center"/>
    </xf>
    <xf numFmtId="0" fontId="38" fillId="55" borderId="87" xfId="0" applyFont="1" applyFill="1" applyBorder="1" applyAlignment="1">
      <alignment horizontal="center" vertical="center"/>
    </xf>
    <xf numFmtId="0" fontId="38" fillId="51" borderId="87" xfId="0" applyFont="1" applyFill="1" applyBorder="1" applyAlignment="1">
      <alignment horizontal="center" vertical="center"/>
    </xf>
    <xf numFmtId="0" fontId="80" fillId="16" borderId="117" xfId="0" applyFont="1" applyFill="1" applyBorder="1" applyAlignment="1">
      <alignment horizontal="center" vertical="center"/>
    </xf>
    <xf numFmtId="0" fontId="38" fillId="10" borderId="30" xfId="0" applyFont="1" applyFill="1" applyBorder="1" applyAlignment="1">
      <alignment horizontal="center" vertical="center"/>
    </xf>
    <xf numFmtId="0" fontId="69" fillId="10" borderId="64" xfId="0" applyFont="1" applyFill="1" applyBorder="1" applyAlignment="1">
      <alignment horizontal="center" vertical="center"/>
    </xf>
    <xf numFmtId="0" fontId="59" fillId="0" borderId="108" xfId="0" applyFont="1" applyBorder="1" applyAlignment="1">
      <alignment horizontal="center" vertical="center"/>
    </xf>
    <xf numFmtId="0" fontId="59" fillId="55" borderId="108" xfId="0" applyFont="1" applyFill="1" applyBorder="1" applyAlignment="1">
      <alignment horizontal="center" vertical="center"/>
    </xf>
    <xf numFmtId="0" fontId="59" fillId="0" borderId="129" xfId="0" applyFont="1" applyBorder="1" applyAlignment="1">
      <alignment horizontal="center" vertical="center"/>
    </xf>
    <xf numFmtId="0" fontId="54" fillId="57" borderId="107" xfId="0" applyFont="1" applyFill="1" applyBorder="1" applyAlignment="1">
      <alignment horizontal="center" vertical="center"/>
    </xf>
    <xf numFmtId="0" fontId="81" fillId="0" borderId="123" xfId="0" applyFont="1" applyBorder="1" applyAlignment="1">
      <alignment horizontal="left" vertical="center" indent="1"/>
    </xf>
    <xf numFmtId="0" fontId="40" fillId="43" borderId="0" xfId="0" applyFont="1" applyFill="1" applyAlignment="1">
      <alignment vertical="center"/>
    </xf>
    <xf numFmtId="0" fontId="83" fillId="0" borderId="106" xfId="0" applyFont="1" applyBorder="1" applyAlignment="1">
      <alignment vertical="center"/>
    </xf>
    <xf numFmtId="0" fontId="83" fillId="2" borderId="105" xfId="0" applyFont="1" applyFill="1" applyBorder="1" applyAlignment="1">
      <alignment vertical="center"/>
    </xf>
    <xf numFmtId="0" fontId="83" fillId="0" borderId="105" xfId="0" applyFont="1" applyBorder="1" applyAlignment="1">
      <alignment vertical="center"/>
    </xf>
    <xf numFmtId="0" fontId="83" fillId="0" borderId="109" xfId="0" applyFont="1" applyBorder="1" applyAlignment="1">
      <alignment vertical="center"/>
    </xf>
    <xf numFmtId="0" fontId="38" fillId="52" borderId="135" xfId="0" applyFont="1" applyFill="1" applyBorder="1" applyAlignment="1">
      <alignment vertical="center"/>
    </xf>
    <xf numFmtId="0" fontId="38" fillId="52" borderId="104" xfId="0" applyFont="1" applyFill="1" applyBorder="1" applyAlignment="1">
      <alignment vertical="center"/>
    </xf>
    <xf numFmtId="0" fontId="84" fillId="52" borderId="104" xfId="0" applyFont="1" applyFill="1" applyBorder="1" applyAlignment="1">
      <alignment horizontal="center" vertical="center"/>
    </xf>
    <xf numFmtId="0" fontId="69" fillId="52" borderId="136" xfId="0" applyFont="1" applyFill="1" applyBorder="1" applyAlignment="1">
      <alignment horizontal="center" vertical="center"/>
    </xf>
    <xf numFmtId="0" fontId="80" fillId="55" borderId="140" xfId="0" applyFont="1" applyFill="1" applyBorder="1" applyAlignment="1">
      <alignment horizontal="center" vertical="center" wrapText="1"/>
    </xf>
    <xf numFmtId="0" fontId="38" fillId="0" borderId="145" xfId="0" applyFont="1" applyBorder="1" applyAlignment="1">
      <alignment horizontal="center" vertical="center"/>
    </xf>
    <xf numFmtId="0" fontId="38" fillId="10" borderId="31" xfId="0" applyFont="1" applyFill="1" applyBorder="1" applyAlignment="1">
      <alignment horizontal="center" vertical="center"/>
    </xf>
    <xf numFmtId="0" fontId="85" fillId="59" borderId="140" xfId="0" applyFont="1" applyFill="1" applyBorder="1" applyAlignment="1">
      <alignment horizontal="center" vertical="center"/>
    </xf>
    <xf numFmtId="0" fontId="85" fillId="59" borderId="141" xfId="0" applyFont="1" applyFill="1" applyBorder="1" applyAlignment="1">
      <alignment horizontal="center" vertical="center"/>
    </xf>
    <xf numFmtId="0" fontId="38" fillId="44" borderId="30" xfId="0" applyFont="1" applyFill="1" applyBorder="1" applyAlignment="1">
      <alignment vertical="center"/>
    </xf>
    <xf numFmtId="0" fontId="38" fillId="44" borderId="31" xfId="0" applyFont="1" applyFill="1" applyBorder="1" applyAlignment="1">
      <alignment horizontal="right" vertical="center"/>
    </xf>
    <xf numFmtId="0" fontId="38" fillId="44" borderId="31" xfId="0" applyFont="1" applyFill="1" applyBorder="1" applyAlignment="1">
      <alignment horizontal="center" vertical="center"/>
    </xf>
    <xf numFmtId="0" fontId="69" fillId="44" borderId="64" xfId="0" applyFont="1" applyFill="1" applyBorder="1" applyAlignment="1">
      <alignment horizontal="center" vertical="center"/>
    </xf>
    <xf numFmtId="0" fontId="38" fillId="62" borderId="0" xfId="0" applyFont="1" applyFill="1" applyAlignment="1">
      <alignment vertical="center"/>
    </xf>
    <xf numFmtId="0" fontId="38" fillId="62" borderId="0" xfId="0" applyFont="1" applyFill="1" applyAlignment="1">
      <alignment horizontal="center" vertical="center"/>
    </xf>
    <xf numFmtId="0" fontId="56" fillId="62" borderId="0" xfId="0" applyFont="1" applyFill="1" applyAlignment="1">
      <alignment horizontal="center" vertical="center"/>
    </xf>
    <xf numFmtId="0" fontId="40" fillId="62" borderId="0" xfId="0" applyFont="1" applyFill="1" applyAlignment="1">
      <alignment vertical="center"/>
    </xf>
    <xf numFmtId="0" fontId="40" fillId="46" borderId="11" xfId="0" applyFont="1" applyFill="1" applyBorder="1" applyAlignment="1">
      <alignment vertical="center"/>
    </xf>
    <xf numFmtId="0" fontId="80" fillId="16" borderId="149" xfId="0" applyFont="1" applyFill="1" applyBorder="1" applyAlignment="1" applyProtection="1">
      <alignment horizontal="center" vertical="center"/>
      <protection locked="0"/>
    </xf>
    <xf numFmtId="0" fontId="80" fillId="58" borderId="149" xfId="0" applyFont="1" applyFill="1" applyBorder="1" applyAlignment="1" applyProtection="1">
      <alignment horizontal="center" vertical="center"/>
      <protection locked="0"/>
    </xf>
    <xf numFmtId="0" fontId="80" fillId="16" borderId="151" xfId="0" applyFont="1" applyFill="1" applyBorder="1" applyAlignment="1" applyProtection="1">
      <alignment horizontal="center" vertical="center"/>
      <protection locked="0"/>
    </xf>
    <xf numFmtId="0" fontId="80" fillId="58" borderId="21" xfId="0" applyFont="1" applyFill="1" applyBorder="1" applyAlignment="1" applyProtection="1">
      <alignment horizontal="center" vertical="center"/>
      <protection locked="0"/>
    </xf>
    <xf numFmtId="0" fontId="80" fillId="16" borderId="45" xfId="0" applyFont="1" applyFill="1" applyBorder="1" applyAlignment="1" applyProtection="1">
      <alignment horizontal="center" vertical="center"/>
      <protection locked="0"/>
    </xf>
    <xf numFmtId="0" fontId="80" fillId="58" borderId="13" xfId="0" applyFont="1" applyFill="1" applyBorder="1" applyAlignment="1" applyProtection="1">
      <alignment horizontal="center" vertical="center"/>
      <protection locked="0"/>
    </xf>
    <xf numFmtId="0" fontId="80" fillId="16" borderId="55" xfId="0" applyFont="1" applyFill="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69" fillId="0" borderId="107" xfId="0" applyFont="1" applyBorder="1" applyAlignment="1" applyProtection="1">
      <alignment horizontal="center" vertical="center"/>
      <protection locked="0"/>
    </xf>
    <xf numFmtId="0" fontId="38" fillId="46" borderId="111" xfId="0" applyFont="1" applyFill="1" applyBorder="1" applyAlignment="1" applyProtection="1">
      <alignment horizontal="center" vertical="center"/>
      <protection locked="0"/>
    </xf>
    <xf numFmtId="0" fontId="69" fillId="46" borderId="108" xfId="0" applyFont="1" applyFill="1" applyBorder="1" applyAlignment="1" applyProtection="1">
      <alignment horizontal="center" vertical="center"/>
      <protection locked="0"/>
    </xf>
    <xf numFmtId="0" fontId="38" fillId="0" borderId="112" xfId="0" applyFont="1" applyBorder="1" applyAlignment="1" applyProtection="1">
      <alignment horizontal="center" vertical="center"/>
      <protection locked="0"/>
    </xf>
    <xf numFmtId="0" fontId="69" fillId="0" borderId="110" xfId="0" applyFont="1" applyBorder="1" applyAlignment="1" applyProtection="1">
      <alignment horizontal="center" vertical="center"/>
      <protection locked="0"/>
    </xf>
    <xf numFmtId="0" fontId="69" fillId="55" borderId="141" xfId="0" applyFont="1" applyFill="1" applyBorder="1" applyAlignment="1" applyProtection="1">
      <alignment horizontal="center" vertical="center" wrapText="1"/>
      <protection locked="0"/>
    </xf>
    <xf numFmtId="0" fontId="69" fillId="0" borderId="146" xfId="0" applyFont="1" applyBorder="1" applyAlignment="1" applyProtection="1">
      <alignment horizontal="center" vertical="center"/>
      <protection locked="0"/>
    </xf>
    <xf numFmtId="0" fontId="69" fillId="0" borderId="130" xfId="0" applyFont="1" applyBorder="1" applyAlignment="1" applyProtection="1">
      <alignment horizontal="center" vertical="center"/>
      <protection locked="0"/>
    </xf>
    <xf numFmtId="0" fontId="69" fillId="2" borderId="108" xfId="0" applyFont="1" applyFill="1" applyBorder="1" applyAlignment="1" applyProtection="1">
      <alignment horizontal="center" vertical="center"/>
      <protection locked="0"/>
    </xf>
    <xf numFmtId="0" fontId="69" fillId="0" borderId="129" xfId="0" applyFont="1" applyBorder="1" applyAlignment="1" applyProtection="1">
      <alignment horizontal="center" vertical="center"/>
      <protection locked="0"/>
    </xf>
    <xf numFmtId="0" fontId="69" fillId="6" borderId="108" xfId="0" applyFont="1" applyFill="1" applyBorder="1" applyAlignment="1" applyProtection="1">
      <alignment horizontal="center" vertical="center"/>
      <protection locked="0"/>
    </xf>
    <xf numFmtId="0" fontId="69" fillId="0" borderId="108" xfId="0" applyFont="1" applyBorder="1" applyAlignment="1" applyProtection="1">
      <alignment horizontal="center" vertical="center"/>
      <protection locked="0"/>
    </xf>
    <xf numFmtId="0" fontId="69" fillId="2" borderId="110" xfId="0" applyFont="1" applyFill="1" applyBorder="1" applyAlignment="1" applyProtection="1">
      <alignment horizontal="center" vertical="center"/>
      <protection locked="0"/>
    </xf>
    <xf numFmtId="0" fontId="69" fillId="47" borderId="120" xfId="0" applyFont="1" applyFill="1" applyBorder="1" applyAlignment="1" applyProtection="1">
      <alignment horizontal="center" vertical="center"/>
      <protection locked="0"/>
    </xf>
    <xf numFmtId="0" fontId="84" fillId="55" borderId="119" xfId="0" applyFont="1" applyFill="1" applyBorder="1" applyAlignment="1">
      <alignment horizontal="center" vertical="center"/>
    </xf>
    <xf numFmtId="0" fontId="84" fillId="10" borderId="31" xfId="0" applyFont="1" applyFill="1" applyBorder="1" applyAlignment="1">
      <alignment horizontal="center" vertical="center"/>
    </xf>
    <xf numFmtId="0" fontId="1" fillId="0" borderId="0" xfId="0" applyFont="1" applyAlignment="1">
      <alignment vertical="center"/>
    </xf>
    <xf numFmtId="0" fontId="84" fillId="0" borderId="0" xfId="0" applyFont="1" applyAlignment="1">
      <alignment vertical="center"/>
    </xf>
    <xf numFmtId="0" fontId="84" fillId="0" borderId="0" xfId="0" applyFont="1" applyAlignment="1">
      <alignment horizontal="center" vertical="center"/>
    </xf>
    <xf numFmtId="0" fontId="38" fillId="0" borderId="13" xfId="0" applyFont="1" applyBorder="1" applyAlignment="1">
      <alignment horizontal="center" vertical="center"/>
    </xf>
    <xf numFmtId="0" fontId="36" fillId="63" borderId="13" xfId="0" applyFont="1" applyFill="1" applyBorder="1" applyAlignment="1">
      <alignment horizontal="center" vertical="center"/>
    </xf>
    <xf numFmtId="0" fontId="36" fillId="63" borderId="13" xfId="0" applyFont="1" applyFill="1" applyBorder="1" applyAlignment="1">
      <alignment vertical="center"/>
    </xf>
    <xf numFmtId="0" fontId="38" fillId="43" borderId="13" xfId="0" applyFont="1" applyFill="1" applyBorder="1" applyAlignment="1">
      <alignment horizontal="center" vertical="center"/>
    </xf>
    <xf numFmtId="0" fontId="1" fillId="0" borderId="0" xfId="0" applyFont="1" applyAlignment="1">
      <alignment horizontal="left" vertical="center"/>
    </xf>
    <xf numFmtId="0" fontId="1" fillId="56" borderId="13" xfId="0" applyFont="1" applyFill="1" applyBorder="1" applyAlignment="1">
      <alignment vertical="center"/>
    </xf>
    <xf numFmtId="0" fontId="1" fillId="50" borderId="13" xfId="0" applyFont="1" applyFill="1" applyBorder="1" applyAlignment="1">
      <alignment vertical="center"/>
    </xf>
    <xf numFmtId="0" fontId="1" fillId="52" borderId="13" xfId="0" applyFont="1" applyFill="1" applyBorder="1" applyAlignment="1">
      <alignment vertical="center" wrapText="1"/>
    </xf>
    <xf numFmtId="0" fontId="1" fillId="61" borderId="13" xfId="0" applyFont="1" applyFill="1" applyBorder="1" applyAlignment="1">
      <alignment vertical="center"/>
    </xf>
    <xf numFmtId="0" fontId="1" fillId="55" borderId="13" xfId="0" applyFont="1" applyFill="1" applyBorder="1" applyAlignment="1">
      <alignment vertical="center"/>
    </xf>
    <xf numFmtId="0" fontId="90" fillId="54" borderId="13" xfId="0" applyFont="1" applyFill="1" applyBorder="1" applyAlignment="1">
      <alignment vertical="center"/>
    </xf>
    <xf numFmtId="0" fontId="73" fillId="50" borderId="13" xfId="0" applyFont="1" applyFill="1" applyBorder="1" applyAlignment="1">
      <alignment horizontal="center" vertical="center"/>
    </xf>
    <xf numFmtId="0" fontId="73" fillId="52" borderId="13" xfId="0" applyFont="1" applyFill="1" applyBorder="1" applyAlignment="1">
      <alignment horizontal="center" vertical="center"/>
    </xf>
    <xf numFmtId="0" fontId="73" fillId="61" borderId="13" xfId="0" applyFont="1" applyFill="1" applyBorder="1" applyAlignment="1">
      <alignment horizontal="center" vertical="center"/>
    </xf>
    <xf numFmtId="0" fontId="73" fillId="55" borderId="13" xfId="0" applyFont="1" applyFill="1" applyBorder="1" applyAlignment="1">
      <alignment horizontal="center" vertical="center"/>
    </xf>
    <xf numFmtId="0" fontId="91" fillId="54" borderId="13" xfId="0" applyFont="1" applyFill="1" applyBorder="1" applyAlignment="1">
      <alignment horizontal="center" vertical="center"/>
    </xf>
    <xf numFmtId="0" fontId="73" fillId="56" borderId="13" xfId="0" applyFont="1" applyFill="1" applyBorder="1" applyAlignment="1">
      <alignment horizontal="center" vertical="center"/>
    </xf>
    <xf numFmtId="0" fontId="92" fillId="0" borderId="0" xfId="0" applyFont="1" applyAlignment="1">
      <alignment horizontal="center" vertical="center"/>
    </xf>
    <xf numFmtId="0" fontId="92" fillId="50" borderId="13" xfId="0" applyFont="1" applyFill="1" applyBorder="1" applyAlignment="1">
      <alignment horizontal="center" vertical="center"/>
    </xf>
    <xf numFmtId="0" fontId="92" fillId="52" borderId="13" xfId="0" applyFont="1" applyFill="1" applyBorder="1" applyAlignment="1">
      <alignment horizontal="center" vertical="center"/>
    </xf>
    <xf numFmtId="0" fontId="92" fillId="61" borderId="13" xfId="0" applyFont="1" applyFill="1" applyBorder="1" applyAlignment="1">
      <alignment horizontal="center" vertical="center"/>
    </xf>
    <xf numFmtId="0" fontId="92" fillId="55" borderId="13" xfId="0" applyFont="1" applyFill="1" applyBorder="1" applyAlignment="1">
      <alignment horizontal="center" vertical="center"/>
    </xf>
    <xf numFmtId="0" fontId="92" fillId="54" borderId="13" xfId="0" applyFont="1" applyFill="1" applyBorder="1" applyAlignment="1">
      <alignment horizontal="center" vertical="center"/>
    </xf>
    <xf numFmtId="0" fontId="92" fillId="56" borderId="13" xfId="0" applyFont="1" applyFill="1" applyBorder="1" applyAlignment="1">
      <alignment horizontal="center" vertical="center"/>
    </xf>
    <xf numFmtId="0" fontId="38" fillId="46" borderId="13" xfId="0" applyFont="1" applyFill="1" applyBorder="1" applyAlignment="1" applyProtection="1">
      <alignment horizontal="center" vertical="center"/>
      <protection locked="0"/>
    </xf>
    <xf numFmtId="0" fontId="38" fillId="52" borderId="11" xfId="0" applyFont="1" applyFill="1" applyBorder="1" applyAlignment="1">
      <alignment horizontal="center" vertical="center"/>
    </xf>
    <xf numFmtId="0" fontId="86" fillId="64" borderId="5" xfId="0" applyFont="1" applyFill="1" applyBorder="1" applyAlignment="1">
      <alignment horizontal="center" vertical="center"/>
    </xf>
    <xf numFmtId="0" fontId="86" fillId="64" borderId="6" xfId="0" applyFont="1" applyFill="1" applyBorder="1" applyAlignment="1">
      <alignment horizontal="center" vertical="center"/>
    </xf>
    <xf numFmtId="0" fontId="86" fillId="64" borderId="17" xfId="0" applyFont="1" applyFill="1" applyBorder="1" applyAlignment="1">
      <alignment horizontal="center" vertical="center"/>
    </xf>
    <xf numFmtId="0" fontId="38" fillId="0" borderId="12" xfId="0" applyFont="1" applyBorder="1" applyAlignment="1">
      <alignment vertical="center"/>
    </xf>
    <xf numFmtId="0" fontId="38" fillId="0" borderId="21" xfId="0" applyFont="1" applyBorder="1" applyAlignment="1">
      <alignment vertical="center"/>
    </xf>
    <xf numFmtId="0" fontId="38" fillId="43" borderId="12" xfId="0" applyFont="1" applyFill="1" applyBorder="1" applyAlignment="1">
      <alignment vertical="center"/>
    </xf>
    <xf numFmtId="0" fontId="38" fillId="43" borderId="21" xfId="0" applyFont="1" applyFill="1" applyBorder="1" applyAlignment="1">
      <alignment vertical="center"/>
    </xf>
    <xf numFmtId="0" fontId="36" fillId="46" borderId="0" xfId="0" applyFont="1" applyFill="1" applyAlignment="1">
      <alignment vertical="center"/>
    </xf>
    <xf numFmtId="0" fontId="36" fillId="46" borderId="0" xfId="0" applyFont="1" applyFill="1" applyAlignment="1">
      <alignment horizontal="center" vertical="center"/>
    </xf>
    <xf numFmtId="0" fontId="38" fillId="46" borderId="28" xfId="0" applyFont="1" applyFill="1" applyBorder="1" applyAlignment="1">
      <alignment vertical="center"/>
    </xf>
    <xf numFmtId="0" fontId="38" fillId="46" borderId="28" xfId="0" applyFont="1" applyFill="1" applyBorder="1" applyAlignment="1">
      <alignment horizontal="center" vertical="center"/>
    </xf>
    <xf numFmtId="0" fontId="56" fillId="46" borderId="28" xfId="0" applyFont="1" applyFill="1" applyBorder="1" applyAlignment="1">
      <alignment horizontal="center" vertical="center"/>
    </xf>
    <xf numFmtId="0" fontId="38" fillId="46" borderId="0" xfId="0" applyFont="1" applyFill="1" applyAlignment="1">
      <alignment vertical="center"/>
    </xf>
    <xf numFmtId="0" fontId="38" fillId="43" borderId="138" xfId="0" applyFont="1" applyFill="1" applyBorder="1" applyAlignment="1">
      <alignment horizontal="center" vertical="center"/>
    </xf>
    <xf numFmtId="0" fontId="69" fillId="43" borderId="141" xfId="0" applyFont="1" applyFill="1" applyBorder="1" applyAlignment="1" applyProtection="1">
      <alignment horizontal="center" vertical="center"/>
      <protection locked="0"/>
    </xf>
    <xf numFmtId="0" fontId="69" fillId="16" borderId="149" xfId="0" applyFont="1" applyFill="1" applyBorder="1" applyAlignment="1" applyProtection="1">
      <alignment horizontal="center" vertical="center"/>
      <protection locked="0"/>
    </xf>
    <xf numFmtId="0" fontId="69" fillId="43" borderId="149" xfId="0" applyFont="1" applyFill="1" applyBorder="1" applyAlignment="1" applyProtection="1">
      <alignment horizontal="center" vertical="center"/>
      <protection locked="0"/>
    </xf>
    <xf numFmtId="0" fontId="38" fillId="43" borderId="143" xfId="0" applyFont="1" applyFill="1" applyBorder="1" applyAlignment="1">
      <alignment horizontal="center" vertical="center"/>
    </xf>
    <xf numFmtId="0" fontId="69" fillId="43" borderId="146" xfId="0" applyFont="1" applyFill="1" applyBorder="1" applyAlignment="1" applyProtection="1">
      <alignment horizontal="center" vertical="center"/>
      <protection locked="0"/>
    </xf>
    <xf numFmtId="0" fontId="38" fillId="43" borderId="153" xfId="0" applyFont="1" applyFill="1" applyBorder="1" applyAlignment="1">
      <alignment vertical="center"/>
    </xf>
    <xf numFmtId="0" fontId="38" fillId="43" borderId="158" xfId="0" applyFont="1" applyFill="1" applyBorder="1" applyAlignment="1">
      <alignment vertical="center"/>
    </xf>
    <xf numFmtId="0" fontId="56" fillId="43" borderId="11" xfId="0" applyFont="1" applyFill="1" applyBorder="1" applyAlignment="1">
      <alignment horizontal="center" vertical="center"/>
    </xf>
    <xf numFmtId="0" fontId="69" fillId="0" borderId="159" xfId="0" applyFont="1" applyBorder="1" applyAlignment="1" applyProtection="1">
      <alignment horizontal="center" vertical="center"/>
      <protection locked="0"/>
    </xf>
    <xf numFmtId="0" fontId="38" fillId="52" borderId="10" xfId="0" applyFont="1" applyFill="1" applyBorder="1" applyAlignment="1">
      <alignment horizontal="center" vertical="center"/>
    </xf>
    <xf numFmtId="0" fontId="38" fillId="52" borderId="28" xfId="0" applyFont="1" applyFill="1" applyBorder="1" applyAlignment="1">
      <alignment horizontal="center" vertical="center"/>
    </xf>
    <xf numFmtId="0" fontId="61" fillId="50" borderId="79" xfId="0" applyFont="1" applyFill="1" applyBorder="1" applyAlignment="1">
      <alignment horizontal="right" vertical="center" wrapText="1" indent="1"/>
    </xf>
    <xf numFmtId="0" fontId="60" fillId="50" borderId="80" xfId="0" applyFont="1" applyFill="1" applyBorder="1" applyAlignment="1">
      <alignment horizontal="center" vertical="center" wrapText="1"/>
    </xf>
    <xf numFmtId="0" fontId="61" fillId="50" borderId="77" xfId="0" applyFont="1" applyFill="1" applyBorder="1" applyAlignment="1">
      <alignment horizontal="left" vertical="center" indent="1"/>
    </xf>
    <xf numFmtId="0" fontId="61" fillId="37" borderId="79" xfId="0" applyFont="1" applyFill="1" applyBorder="1" applyAlignment="1">
      <alignment horizontal="right" vertical="center" wrapText="1" indent="1"/>
    </xf>
    <xf numFmtId="0" fontId="60" fillId="37" borderId="80" xfId="0" applyFont="1" applyFill="1" applyBorder="1" applyAlignment="1">
      <alignment horizontal="center" vertical="center" wrapText="1"/>
    </xf>
    <xf numFmtId="0" fontId="61" fillId="37" borderId="77" xfId="0" applyFont="1" applyFill="1" applyBorder="1" applyAlignment="1">
      <alignment horizontal="left" vertical="center" wrapText="1" indent="1"/>
    </xf>
    <xf numFmtId="0" fontId="61" fillId="43" borderId="79" xfId="0" applyFont="1" applyFill="1" applyBorder="1" applyAlignment="1">
      <alignment horizontal="right" vertical="center" wrapText="1" indent="1"/>
    </xf>
    <xf numFmtId="0" fontId="60" fillId="43" borderId="80" xfId="0" applyFont="1" applyFill="1" applyBorder="1" applyAlignment="1">
      <alignment horizontal="center" vertical="center" wrapText="1"/>
    </xf>
    <xf numFmtId="0" fontId="61" fillId="43" borderId="77" xfId="0" applyFont="1" applyFill="1" applyBorder="1" applyAlignment="1">
      <alignment horizontal="left" vertical="center" wrapText="1" indent="1"/>
    </xf>
    <xf numFmtId="0" fontId="61" fillId="55" borderId="79" xfId="0" applyFont="1" applyFill="1" applyBorder="1" applyAlignment="1">
      <alignment horizontal="right" vertical="center" wrapText="1" indent="1"/>
    </xf>
    <xf numFmtId="0" fontId="60" fillId="55" borderId="80" xfId="0" applyFont="1" applyFill="1" applyBorder="1" applyAlignment="1">
      <alignment horizontal="center" vertical="center" wrapText="1"/>
    </xf>
    <xf numFmtId="0" fontId="61" fillId="55" borderId="77" xfId="0" applyFont="1" applyFill="1" applyBorder="1" applyAlignment="1">
      <alignment horizontal="left" vertical="center" wrapText="1" indent="1"/>
    </xf>
    <xf numFmtId="0" fontId="61" fillId="54" borderId="79" xfId="0" applyFont="1" applyFill="1" applyBorder="1" applyAlignment="1">
      <alignment horizontal="right" vertical="center" wrapText="1" indent="1"/>
    </xf>
    <xf numFmtId="0" fontId="60" fillId="54" borderId="80" xfId="0" applyFont="1" applyFill="1" applyBorder="1" applyAlignment="1">
      <alignment horizontal="center" vertical="center" wrapText="1"/>
    </xf>
    <xf numFmtId="0" fontId="61" fillId="54" borderId="77" xfId="0" applyFont="1" applyFill="1" applyBorder="1" applyAlignment="1">
      <alignment horizontal="left" vertical="center" wrapText="1" indent="1"/>
    </xf>
    <xf numFmtId="0" fontId="61" fillId="56" borderId="79" xfId="0" applyFont="1" applyFill="1" applyBorder="1" applyAlignment="1">
      <alignment horizontal="right" vertical="center" wrapText="1" indent="1"/>
    </xf>
    <xf numFmtId="0" fontId="60" fillId="56" borderId="80" xfId="0" applyFont="1" applyFill="1" applyBorder="1" applyAlignment="1">
      <alignment horizontal="center" vertical="center" wrapText="1"/>
    </xf>
    <xf numFmtId="0" fontId="61" fillId="56" borderId="77" xfId="0" applyFont="1" applyFill="1" applyBorder="1" applyAlignment="1">
      <alignment horizontal="left" vertical="center" indent="1"/>
    </xf>
    <xf numFmtId="0" fontId="38" fillId="43" borderId="13" xfId="0" applyFont="1" applyFill="1" applyBorder="1" applyAlignment="1">
      <alignment vertical="center"/>
    </xf>
    <xf numFmtId="0" fontId="38" fillId="63" borderId="13" xfId="0" applyFont="1" applyFill="1" applyBorder="1" applyAlignment="1">
      <alignment vertical="center"/>
    </xf>
    <xf numFmtId="0" fontId="38" fillId="16" borderId="48" xfId="0" applyFont="1" applyFill="1" applyBorder="1" applyAlignment="1">
      <alignment vertical="center"/>
    </xf>
    <xf numFmtId="0" fontId="38" fillId="16" borderId="154" xfId="0" applyFont="1" applyFill="1" applyBorder="1" applyAlignment="1">
      <alignment vertical="center"/>
    </xf>
    <xf numFmtId="0" fontId="4" fillId="6" borderId="14" xfId="0" applyFont="1" applyFill="1" applyBorder="1" applyAlignment="1">
      <alignment horizontal="left" vertical="center" wrapText="1"/>
    </xf>
    <xf numFmtId="0" fontId="4" fillId="0" borderId="14" xfId="0" applyFont="1" applyBorder="1" applyAlignment="1">
      <alignment horizontal="left" vertical="center" wrapText="1"/>
    </xf>
    <xf numFmtId="0" fontId="2" fillId="6" borderId="13" xfId="0" applyFont="1" applyFill="1" applyBorder="1" applyAlignment="1">
      <alignment horizontal="center" vertical="center"/>
    </xf>
    <xf numFmtId="0" fontId="2" fillId="6" borderId="21" xfId="0" applyFont="1" applyFill="1" applyBorder="1" applyAlignment="1">
      <alignment horizontal="left" vertical="center" wrapText="1" indent="1"/>
    </xf>
    <xf numFmtId="0" fontId="2" fillId="6" borderId="12" xfId="0" applyFont="1" applyFill="1" applyBorder="1" applyAlignment="1">
      <alignment horizontal="center" vertical="center"/>
    </xf>
    <xf numFmtId="0" fontId="2" fillId="0" borderId="13" xfId="0" applyFont="1" applyBorder="1" applyAlignment="1">
      <alignment horizontal="center" vertical="center"/>
    </xf>
    <xf numFmtId="0" fontId="3" fillId="4" borderId="7" xfId="0" applyFont="1" applyFill="1" applyBorder="1" applyAlignment="1">
      <alignment horizontal="left" vertical="center" wrapText="1"/>
    </xf>
    <xf numFmtId="0" fontId="2"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center" vertical="center"/>
    </xf>
    <xf numFmtId="176" fontId="26" fillId="0" borderId="0" xfId="0" applyNumberFormat="1" applyFont="1" applyAlignment="1">
      <alignment vertical="center"/>
    </xf>
    <xf numFmtId="0" fontId="26" fillId="0" borderId="0" xfId="0" applyFont="1" applyAlignment="1">
      <alignment horizontal="left" vertical="center"/>
    </xf>
    <xf numFmtId="0" fontId="33" fillId="0" borderId="0" xfId="0" applyFont="1" applyAlignment="1">
      <alignment vertical="center" wrapText="1"/>
    </xf>
    <xf numFmtId="0" fontId="38" fillId="67" borderId="171" xfId="0" applyFont="1" applyFill="1" applyBorder="1" applyAlignment="1" applyProtection="1">
      <alignment horizontal="right" vertical="center" indent="1"/>
      <protection locked="0"/>
    </xf>
    <xf numFmtId="0" fontId="38" fillId="66" borderId="172" xfId="0" applyFont="1" applyFill="1" applyBorder="1" applyAlignment="1" applyProtection="1">
      <alignment horizontal="right" vertical="center" indent="1"/>
      <protection locked="0"/>
    </xf>
    <xf numFmtId="0" fontId="32" fillId="38" borderId="187" xfId="0" applyFont="1" applyFill="1" applyBorder="1" applyAlignment="1" applyProtection="1">
      <alignment horizontal="center" vertical="center"/>
      <protection locked="0"/>
    </xf>
    <xf numFmtId="0" fontId="32" fillId="40" borderId="187" xfId="0" applyFont="1" applyFill="1" applyBorder="1" applyAlignment="1" applyProtection="1">
      <alignment horizontal="center" vertical="center"/>
      <protection locked="0"/>
    </xf>
    <xf numFmtId="0" fontId="32" fillId="40" borderId="198" xfId="0" applyFont="1" applyFill="1" applyBorder="1" applyAlignment="1" applyProtection="1">
      <alignment horizontal="center" vertical="center"/>
      <protection locked="0"/>
    </xf>
    <xf numFmtId="0" fontId="32" fillId="38" borderId="202" xfId="0" applyFont="1" applyFill="1" applyBorder="1" applyAlignment="1" applyProtection="1">
      <alignment horizontal="center" vertical="center"/>
      <protection locked="0"/>
    </xf>
    <xf numFmtId="176" fontId="28" fillId="30" borderId="31" xfId="0" applyNumberFormat="1" applyFont="1" applyFill="1" applyBorder="1" applyAlignment="1" applyProtection="1">
      <alignment horizontal="center" vertical="center"/>
      <protection locked="0"/>
    </xf>
    <xf numFmtId="178" fontId="38" fillId="16" borderId="43" xfId="3" applyNumberFormat="1" applyFont="1" applyFill="1" applyBorder="1" applyAlignment="1" applyProtection="1">
      <alignment horizontal="right" vertical="center" indent="1"/>
    </xf>
    <xf numFmtId="178" fontId="38" fillId="41" borderId="43" xfId="3" applyNumberFormat="1" applyFont="1" applyFill="1" applyBorder="1" applyAlignment="1" applyProtection="1">
      <alignment horizontal="right" vertical="center" indent="1"/>
    </xf>
    <xf numFmtId="178" fontId="38" fillId="16" borderId="4" xfId="3" applyNumberFormat="1" applyFont="1" applyFill="1" applyBorder="1" applyAlignment="1" applyProtection="1">
      <alignment horizontal="right" vertical="center" indent="1"/>
    </xf>
    <xf numFmtId="178" fontId="38" fillId="16" borderId="59" xfId="3" applyNumberFormat="1" applyFont="1" applyFill="1" applyBorder="1" applyAlignment="1" applyProtection="1">
      <alignment horizontal="right" vertical="center" indent="1"/>
    </xf>
    <xf numFmtId="178" fontId="38" fillId="41" borderId="59" xfId="3" applyNumberFormat="1" applyFont="1" applyFill="1" applyBorder="1" applyAlignment="1" applyProtection="1">
      <alignment horizontal="right" vertical="center" indent="1"/>
    </xf>
    <xf numFmtId="178" fontId="38" fillId="16" borderId="68" xfId="3" applyNumberFormat="1" applyFont="1" applyFill="1" applyBorder="1" applyAlignment="1" applyProtection="1">
      <alignment horizontal="right" vertical="center" indent="1"/>
    </xf>
    <xf numFmtId="0" fontId="68" fillId="0" borderId="0" xfId="0" applyFont="1" applyAlignment="1">
      <alignment vertical="top"/>
    </xf>
    <xf numFmtId="0" fontId="34" fillId="0" borderId="0" xfId="0" applyFont="1" applyAlignment="1">
      <alignment vertical="top"/>
    </xf>
    <xf numFmtId="49" fontId="26" fillId="0" borderId="0" xfId="0" applyNumberFormat="1" applyFont="1" applyAlignment="1">
      <alignment vertical="center"/>
    </xf>
    <xf numFmtId="189" fontId="38" fillId="16" borderId="43" xfId="0" applyNumberFormat="1" applyFont="1" applyFill="1" applyBorder="1" applyAlignment="1" applyProtection="1">
      <alignment horizontal="right" vertical="center" indent="1"/>
      <protection locked="0"/>
    </xf>
    <xf numFmtId="189" fontId="38" fillId="41" borderId="59" xfId="0" applyNumberFormat="1" applyFont="1" applyFill="1" applyBorder="1" applyAlignment="1" applyProtection="1">
      <alignment horizontal="right" vertical="center" indent="1"/>
      <protection locked="0"/>
    </xf>
    <xf numFmtId="189" fontId="38" fillId="16" borderId="68" xfId="0" applyNumberFormat="1" applyFont="1" applyFill="1" applyBorder="1" applyAlignment="1" applyProtection="1">
      <alignment horizontal="right" vertical="center" indent="1"/>
      <protection locked="0"/>
    </xf>
    <xf numFmtId="0" fontId="108" fillId="49" borderId="31" xfId="0" applyFont="1" applyFill="1" applyBorder="1" applyAlignment="1" applyProtection="1">
      <alignment horizontal="center" vertical="center"/>
      <protection locked="0"/>
    </xf>
    <xf numFmtId="190" fontId="36" fillId="68" borderId="64" xfId="3" applyNumberFormat="1" applyFont="1" applyFill="1" applyBorder="1" applyAlignment="1" applyProtection="1">
      <alignment horizontal="right" vertical="center" indent="1"/>
    </xf>
    <xf numFmtId="190" fontId="36" fillId="68" borderId="2" xfId="3" applyNumberFormat="1" applyFont="1" applyFill="1" applyBorder="1" applyAlignment="1" applyProtection="1">
      <alignment horizontal="right" vertical="center" indent="1"/>
    </xf>
    <xf numFmtId="192" fontId="38" fillId="16" borderId="196" xfId="0" applyNumberFormat="1" applyFont="1" applyFill="1" applyBorder="1" applyAlignment="1" applyProtection="1">
      <alignment horizontal="right" vertical="center" indent="1"/>
      <protection locked="0"/>
    </xf>
    <xf numFmtId="192" fontId="36" fillId="41" borderId="187" xfId="0" applyNumberFormat="1" applyFont="1" applyFill="1" applyBorder="1" applyAlignment="1" applyProtection="1">
      <alignment horizontal="right" vertical="center" indent="1"/>
      <protection locked="0"/>
    </xf>
    <xf numFmtId="192" fontId="36" fillId="16" borderId="187" xfId="0" applyNumberFormat="1" applyFont="1" applyFill="1" applyBorder="1" applyAlignment="1" applyProtection="1">
      <alignment horizontal="right" vertical="center" indent="1"/>
      <protection locked="0"/>
    </xf>
    <xf numFmtId="192" fontId="36" fillId="16" borderId="199" xfId="0" applyNumberFormat="1" applyFont="1" applyFill="1" applyBorder="1" applyAlignment="1" applyProtection="1">
      <alignment horizontal="right" vertical="center" indent="1"/>
      <protection locked="0"/>
    </xf>
    <xf numFmtId="192" fontId="36" fillId="16" borderId="20" xfId="0" applyNumberFormat="1" applyFont="1" applyFill="1" applyBorder="1" applyAlignment="1" applyProtection="1">
      <alignment horizontal="right" vertical="center" indent="1"/>
      <protection locked="0"/>
    </xf>
    <xf numFmtId="192" fontId="36" fillId="41" borderId="56" xfId="0" applyNumberFormat="1" applyFont="1" applyFill="1" applyBorder="1" applyAlignment="1" applyProtection="1">
      <alignment horizontal="right" vertical="center" indent="1"/>
      <protection locked="0"/>
    </xf>
    <xf numFmtId="0" fontId="68" fillId="0" borderId="0" xfId="0" applyFont="1" applyAlignment="1">
      <alignment horizontal="left" vertical="top"/>
    </xf>
    <xf numFmtId="0" fontId="30" fillId="0" borderId="0" xfId="0" applyFont="1" applyAlignment="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28" fillId="16" borderId="186" xfId="0" applyFont="1" applyFill="1" applyBorder="1" applyAlignment="1">
      <alignment horizontal="center" vertical="center" wrapText="1"/>
    </xf>
    <xf numFmtId="176" fontId="35" fillId="31" borderId="203" xfId="0" applyNumberFormat="1" applyFont="1" applyFill="1" applyBorder="1" applyAlignment="1">
      <alignment horizontal="center" vertical="center"/>
    </xf>
    <xf numFmtId="176" fontId="35" fillId="31" borderId="66" xfId="0" applyNumberFormat="1" applyFont="1" applyFill="1" applyBorder="1" applyAlignment="1">
      <alignment horizontal="center" vertical="center"/>
    </xf>
    <xf numFmtId="176" fontId="35" fillId="31" borderId="195" xfId="0" applyNumberFormat="1" applyFont="1" applyFill="1" applyBorder="1" applyAlignment="1">
      <alignment horizontal="center" vertical="center"/>
    </xf>
    <xf numFmtId="176" fontId="26" fillId="0" borderId="0" xfId="0" applyNumberFormat="1" applyFont="1" applyAlignment="1">
      <alignment horizontal="right" vertical="center"/>
    </xf>
    <xf numFmtId="176" fontId="35" fillId="31" borderId="69" xfId="0" applyNumberFormat="1" applyFont="1" applyFill="1" applyBorder="1" applyAlignment="1">
      <alignment horizontal="center" vertical="center"/>
    </xf>
    <xf numFmtId="176" fontId="35" fillId="31" borderId="163" xfId="0" applyNumberFormat="1" applyFont="1" applyFill="1" applyBorder="1" applyAlignment="1">
      <alignment horizontal="center" vertical="center"/>
    </xf>
    <xf numFmtId="0" fontId="26" fillId="44" borderId="13" xfId="0" applyFont="1" applyFill="1" applyBorder="1" applyAlignment="1">
      <alignment horizontal="center" vertical="center"/>
    </xf>
    <xf numFmtId="0" fontId="30" fillId="0" borderId="13" xfId="0" applyFont="1" applyBorder="1" applyAlignment="1">
      <alignment horizontal="center" vertical="center"/>
    </xf>
    <xf numFmtId="0" fontId="31" fillId="44" borderId="13" xfId="0" applyFont="1" applyFill="1" applyBorder="1" applyAlignment="1">
      <alignment horizontal="center" vertical="center"/>
    </xf>
    <xf numFmtId="0" fontId="52" fillId="36" borderId="185" xfId="0" applyFont="1" applyFill="1" applyBorder="1" applyAlignment="1">
      <alignment horizontal="center" vertical="center" wrapText="1"/>
    </xf>
    <xf numFmtId="0" fontId="52" fillId="41" borderId="57" xfId="0" applyFont="1" applyFill="1" applyBorder="1" applyAlignment="1">
      <alignment horizontal="center" vertical="center" wrapText="1"/>
    </xf>
    <xf numFmtId="14" fontId="52" fillId="36" borderId="57" xfId="0" applyNumberFormat="1" applyFont="1" applyFill="1" applyBorder="1" applyAlignment="1">
      <alignment horizontal="center" vertical="center" wrapText="1"/>
    </xf>
    <xf numFmtId="49" fontId="64" fillId="0" borderId="0" xfId="0" applyNumberFormat="1" applyFont="1" applyAlignment="1">
      <alignment horizontal="right" vertical="center"/>
    </xf>
    <xf numFmtId="0" fontId="121" fillId="16" borderId="19" xfId="0" applyFont="1" applyFill="1" applyBorder="1" applyAlignment="1">
      <alignment horizontal="left" vertical="center"/>
    </xf>
    <xf numFmtId="180" fontId="36" fillId="16" borderId="19" xfId="0" applyNumberFormat="1" applyFont="1" applyFill="1" applyBorder="1" applyAlignment="1">
      <alignment horizontal="right" vertical="center" indent="1"/>
    </xf>
    <xf numFmtId="178" fontId="36" fillId="16" borderId="196" xfId="0" applyNumberFormat="1" applyFont="1" applyFill="1" applyBorder="1" applyAlignment="1">
      <alignment horizontal="right" vertical="center" indent="1"/>
    </xf>
    <xf numFmtId="176" fontId="31" fillId="16" borderId="184" xfId="0" applyNumberFormat="1" applyFont="1" applyFill="1" applyBorder="1" applyAlignment="1">
      <alignment vertical="center"/>
    </xf>
    <xf numFmtId="178" fontId="36" fillId="16" borderId="53" xfId="0" applyNumberFormat="1" applyFont="1" applyFill="1" applyBorder="1" applyAlignment="1">
      <alignment horizontal="right" vertical="center"/>
    </xf>
    <xf numFmtId="0" fontId="26" fillId="0" borderId="13" xfId="0" applyFont="1" applyBorder="1" applyAlignment="1">
      <alignment horizontal="center" vertical="center"/>
    </xf>
    <xf numFmtId="0" fontId="31" fillId="0" borderId="13" xfId="0" applyFont="1" applyBorder="1" applyAlignment="1">
      <alignment horizontal="center" vertical="center"/>
    </xf>
    <xf numFmtId="0" fontId="30" fillId="0" borderId="0" xfId="0" applyFont="1" applyAlignment="1">
      <alignment horizontal="center"/>
    </xf>
    <xf numFmtId="0" fontId="31" fillId="41" borderId="54" xfId="0" applyFont="1" applyFill="1" applyBorder="1" applyAlignment="1">
      <alignment horizontal="left" vertical="center"/>
    </xf>
    <xf numFmtId="180" fontId="36" fillId="41" borderId="54" xfId="0" applyNumberFormat="1" applyFont="1" applyFill="1" applyBorder="1" applyAlignment="1">
      <alignment horizontal="right" vertical="center" indent="1"/>
    </xf>
    <xf numFmtId="178" fontId="36" fillId="41" borderId="196" xfId="0" applyNumberFormat="1" applyFont="1" applyFill="1" applyBorder="1" applyAlignment="1">
      <alignment horizontal="right" vertical="center" indent="1"/>
    </xf>
    <xf numFmtId="176" fontId="57" fillId="0" borderId="0" xfId="0" applyNumberFormat="1" applyFont="1" applyAlignment="1">
      <alignment horizontal="right" vertical="center"/>
    </xf>
    <xf numFmtId="176" fontId="29" fillId="41" borderId="181" xfId="0" applyNumberFormat="1" applyFont="1" applyFill="1" applyBorder="1" applyAlignment="1">
      <alignment vertical="center"/>
    </xf>
    <xf numFmtId="178" fontId="36" fillId="41" borderId="53" xfId="0" applyNumberFormat="1" applyFont="1" applyFill="1" applyBorder="1" applyAlignment="1">
      <alignment horizontal="right" vertical="center"/>
    </xf>
    <xf numFmtId="0" fontId="38" fillId="0" borderId="13" xfId="0" applyFont="1" applyBorder="1" applyAlignment="1">
      <alignment horizontal="right" vertical="center"/>
    </xf>
    <xf numFmtId="0" fontId="29" fillId="16" borderId="54" xfId="0" applyFont="1" applyFill="1" applyBorder="1" applyAlignment="1">
      <alignment horizontal="left" vertical="center"/>
    </xf>
    <xf numFmtId="180" fontId="36" fillId="16" borderId="54" xfId="0" applyNumberFormat="1" applyFont="1" applyFill="1" applyBorder="1" applyAlignment="1">
      <alignment horizontal="right" vertical="center" indent="1"/>
    </xf>
    <xf numFmtId="176" fontId="56" fillId="0" borderId="0" xfId="0" applyNumberFormat="1" applyFont="1" applyAlignment="1">
      <alignment horizontal="right" vertical="center"/>
    </xf>
    <xf numFmtId="176" fontId="31" fillId="16" borderId="181" xfId="0" applyNumberFormat="1" applyFont="1" applyFill="1" applyBorder="1" applyAlignment="1">
      <alignment vertical="center"/>
    </xf>
    <xf numFmtId="0" fontId="31" fillId="0" borderId="13" xfId="0" applyFont="1" applyBorder="1" applyAlignment="1">
      <alignment horizontal="right" vertical="center"/>
    </xf>
    <xf numFmtId="0" fontId="52" fillId="30" borderId="31" xfId="0" applyFont="1" applyFill="1" applyBorder="1" applyAlignment="1">
      <alignment horizontal="center" vertical="center"/>
    </xf>
    <xf numFmtId="0" fontId="28" fillId="30" borderId="206" xfId="0" applyFont="1" applyFill="1" applyBorder="1" applyAlignment="1">
      <alignment horizontal="center" vertical="center"/>
    </xf>
    <xf numFmtId="0" fontId="28" fillId="0" borderId="178" xfId="0" applyFont="1" applyBorder="1" applyAlignment="1">
      <alignment horizontal="center" vertical="center"/>
    </xf>
    <xf numFmtId="0" fontId="37" fillId="0" borderId="64" xfId="0" applyFont="1" applyBorder="1" applyAlignment="1">
      <alignment horizontal="center" vertical="center"/>
    </xf>
    <xf numFmtId="176" fontId="64" fillId="0" borderId="0" xfId="0" applyNumberFormat="1" applyFont="1" applyAlignment="1">
      <alignment horizontal="right" vertical="center"/>
    </xf>
    <xf numFmtId="176" fontId="121" fillId="41" borderId="181" xfId="0" applyNumberFormat="1" applyFont="1" applyFill="1" applyBorder="1" applyAlignment="1">
      <alignment vertical="center"/>
    </xf>
    <xf numFmtId="0" fontId="28"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horizontal="right" vertical="center" indent="1"/>
    </xf>
    <xf numFmtId="0" fontId="36" fillId="0" borderId="0" xfId="0" applyFont="1" applyAlignment="1">
      <alignment vertical="center"/>
    </xf>
    <xf numFmtId="0" fontId="31" fillId="16" borderId="54" xfId="0" applyFont="1" applyFill="1" applyBorder="1" applyAlignment="1">
      <alignment horizontal="left" vertical="center"/>
    </xf>
    <xf numFmtId="0" fontId="31" fillId="47" borderId="2" xfId="0" applyFont="1" applyFill="1" applyBorder="1" applyAlignment="1">
      <alignment horizontal="center" vertical="center"/>
    </xf>
    <xf numFmtId="49" fontId="64" fillId="0" borderId="0" xfId="0" applyNumberFormat="1" applyFont="1" applyAlignment="1">
      <alignment horizontal="left" vertical="center"/>
    </xf>
    <xf numFmtId="176" fontId="116" fillId="41" borderId="181" xfId="0" applyNumberFormat="1" applyFont="1" applyFill="1" applyBorder="1" applyAlignment="1">
      <alignment vertical="center"/>
    </xf>
    <xf numFmtId="0" fontId="36" fillId="49" borderId="31" xfId="0" applyFont="1" applyFill="1" applyBorder="1" applyAlignment="1">
      <alignment vertical="center"/>
    </xf>
    <xf numFmtId="0" fontId="31" fillId="49" borderId="31" xfId="0" applyFont="1" applyFill="1" applyBorder="1" applyAlignment="1">
      <alignment horizontal="center" vertical="center"/>
    </xf>
    <xf numFmtId="0" fontId="40" fillId="49" borderId="31" xfId="0" applyFont="1" applyFill="1" applyBorder="1" applyAlignment="1">
      <alignment horizontal="left" vertical="center"/>
    </xf>
    <xf numFmtId="0" fontId="40" fillId="49" borderId="64" xfId="0" applyFont="1" applyFill="1" applyBorder="1" applyAlignment="1">
      <alignment horizontal="left" vertical="center"/>
    </xf>
    <xf numFmtId="176" fontId="116" fillId="16" borderId="181" xfId="0" applyNumberFormat="1" applyFont="1" applyFill="1" applyBorder="1" applyAlignment="1">
      <alignment vertical="center"/>
    </xf>
    <xf numFmtId="176" fontId="31" fillId="41" borderId="181" xfId="0" applyNumberFormat="1" applyFont="1" applyFill="1" applyBorder="1" applyAlignment="1">
      <alignment vertical="center"/>
    </xf>
    <xf numFmtId="176" fontId="31" fillId="41" borderId="184" xfId="0" applyNumberFormat="1" applyFont="1" applyFill="1" applyBorder="1" applyAlignment="1">
      <alignment vertical="center"/>
    </xf>
    <xf numFmtId="49" fontId="26" fillId="0" borderId="4" xfId="0" applyNumberFormat="1" applyFont="1" applyBorder="1" applyAlignment="1">
      <alignment vertical="center"/>
    </xf>
    <xf numFmtId="0" fontId="40" fillId="16" borderId="184" xfId="0" applyFont="1" applyFill="1" applyBorder="1" applyAlignment="1">
      <alignment vertical="center"/>
    </xf>
    <xf numFmtId="0" fontId="40" fillId="41" borderId="181" xfId="0" applyFont="1" applyFill="1" applyBorder="1" applyAlignment="1">
      <alignment vertical="center"/>
    </xf>
    <xf numFmtId="49" fontId="64" fillId="0" borderId="0" xfId="0" applyNumberFormat="1" applyFont="1" applyAlignment="1">
      <alignment vertical="center"/>
    </xf>
    <xf numFmtId="176" fontId="31" fillId="41" borderId="183" xfId="0" applyNumberFormat="1" applyFont="1" applyFill="1" applyBorder="1" applyAlignment="1">
      <alignment vertical="center"/>
    </xf>
    <xf numFmtId="0" fontId="31" fillId="16" borderId="15" xfId="0" applyFont="1" applyFill="1" applyBorder="1" applyAlignment="1">
      <alignment horizontal="left" vertical="center"/>
    </xf>
    <xf numFmtId="180" fontId="36" fillId="16" borderId="15" xfId="0" applyNumberFormat="1" applyFont="1" applyFill="1" applyBorder="1" applyAlignment="1">
      <alignment horizontal="right" vertical="center" indent="1"/>
    </xf>
    <xf numFmtId="178" fontId="36" fillId="16" borderId="197" xfId="0" applyNumberFormat="1" applyFont="1" applyFill="1" applyBorder="1" applyAlignment="1">
      <alignment horizontal="right" vertical="center" indent="1"/>
    </xf>
    <xf numFmtId="176" fontId="31" fillId="16" borderId="183" xfId="0" applyNumberFormat="1" applyFont="1" applyFill="1" applyBorder="1" applyAlignment="1">
      <alignment vertical="center"/>
    </xf>
    <xf numFmtId="0" fontId="31" fillId="0" borderId="13" xfId="0" applyFont="1" applyBorder="1" applyAlignment="1">
      <alignment vertical="center"/>
    </xf>
    <xf numFmtId="189" fontId="36" fillId="68" borderId="200" xfId="0" applyNumberFormat="1" applyFont="1" applyFill="1" applyBorder="1" applyAlignment="1">
      <alignment horizontal="right" vertical="center" indent="1"/>
    </xf>
    <xf numFmtId="180" fontId="55" fillId="68" borderId="32" xfId="0" applyNumberFormat="1" applyFont="1" applyFill="1" applyBorder="1" applyAlignment="1">
      <alignment horizontal="right" vertical="center" indent="1"/>
    </xf>
    <xf numFmtId="178" fontId="36" fillId="68" borderId="198" xfId="0" applyNumberFormat="1" applyFont="1" applyFill="1" applyBorder="1" applyAlignment="1">
      <alignment horizontal="right" vertical="center" indent="1"/>
    </xf>
    <xf numFmtId="0" fontId="38" fillId="41" borderId="181" xfId="0" applyFont="1" applyFill="1" applyBorder="1" applyAlignment="1">
      <alignment vertical="center"/>
    </xf>
    <xf numFmtId="0" fontId="37" fillId="0" borderId="0" xfId="0" applyFont="1" applyAlignment="1">
      <alignment vertical="center"/>
    </xf>
    <xf numFmtId="49" fontId="64" fillId="0" borderId="4" xfId="0" applyNumberFormat="1" applyFont="1" applyBorder="1" applyAlignment="1">
      <alignment vertical="center"/>
    </xf>
    <xf numFmtId="0" fontId="33" fillId="65" borderId="193" xfId="0" applyFont="1" applyFill="1" applyBorder="1" applyAlignment="1">
      <alignment horizontal="left" vertical="center"/>
    </xf>
    <xf numFmtId="188" fontId="38" fillId="65" borderId="204" xfId="0" applyNumberFormat="1" applyFont="1" applyFill="1" applyBorder="1" applyAlignment="1">
      <alignment horizontal="right" vertical="center" indent="1"/>
    </xf>
    <xf numFmtId="2" fontId="38" fillId="65" borderId="31" xfId="0" applyNumberFormat="1" applyFont="1" applyFill="1" applyBorder="1" applyAlignment="1">
      <alignment horizontal="right" vertical="center" indent="1"/>
    </xf>
    <xf numFmtId="178" fontId="38" fillId="65" borderId="204" xfId="0" applyNumberFormat="1" applyFont="1" applyFill="1" applyBorder="1" applyAlignment="1">
      <alignment horizontal="right" vertical="center" indent="1"/>
    </xf>
    <xf numFmtId="176" fontId="38" fillId="65" borderId="64" xfId="0" applyNumberFormat="1" applyFont="1" applyFill="1" applyBorder="1" applyAlignment="1">
      <alignment horizontal="right" vertical="center" indent="1"/>
    </xf>
    <xf numFmtId="0" fontId="31" fillId="16" borderId="182" xfId="0" applyFont="1" applyFill="1" applyBorder="1" applyAlignment="1">
      <alignment vertical="center"/>
    </xf>
    <xf numFmtId="178" fontId="36" fillId="16" borderId="14" xfId="0" applyNumberFormat="1" applyFont="1" applyFill="1" applyBorder="1" applyAlignment="1">
      <alignment horizontal="right" vertical="center"/>
    </xf>
    <xf numFmtId="189" fontId="36" fillId="68" borderId="62" xfId="0" applyNumberFormat="1" applyFont="1" applyFill="1" applyBorder="1" applyAlignment="1">
      <alignment horizontal="right" vertical="center" indent="1"/>
    </xf>
    <xf numFmtId="179" fontId="36" fillId="68" borderId="63" xfId="0" applyNumberFormat="1" applyFont="1" applyFill="1" applyBorder="1" applyAlignment="1">
      <alignment horizontal="right" vertical="center" indent="1"/>
    </xf>
    <xf numFmtId="178" fontId="36" fillId="68" borderId="204" xfId="0" applyNumberFormat="1" applyFont="1" applyFill="1" applyBorder="1" applyAlignment="1">
      <alignment horizontal="right" vertical="center" indent="1"/>
    </xf>
    <xf numFmtId="0" fontId="31" fillId="0" borderId="53" xfId="0" applyFont="1" applyBorder="1" applyAlignment="1">
      <alignment vertical="center"/>
    </xf>
    <xf numFmtId="176" fontId="102" fillId="0" borderId="0" xfId="0" applyNumberFormat="1" applyFont="1" applyAlignment="1">
      <alignment vertical="center"/>
    </xf>
    <xf numFmtId="176" fontId="102" fillId="0" borderId="0" xfId="0" applyNumberFormat="1" applyFont="1" applyAlignment="1">
      <alignment horizontal="left" vertical="center"/>
    </xf>
    <xf numFmtId="0" fontId="31" fillId="61" borderId="13" xfId="0" applyFont="1" applyFill="1" applyBorder="1" applyAlignment="1">
      <alignment horizontal="center" vertical="center"/>
    </xf>
    <xf numFmtId="0" fontId="31" fillId="61" borderId="13" xfId="0" applyFont="1" applyFill="1" applyBorder="1" applyAlignment="1">
      <alignment vertical="center"/>
    </xf>
    <xf numFmtId="176" fontId="35" fillId="43" borderId="195" xfId="0" applyNumberFormat="1" applyFont="1" applyFill="1" applyBorder="1" applyAlignment="1">
      <alignment horizontal="center" vertical="center"/>
    </xf>
    <xf numFmtId="176" fontId="41" fillId="0" borderId="71" xfId="0" applyNumberFormat="1" applyFont="1" applyBorder="1" applyAlignment="1">
      <alignment vertical="center"/>
    </xf>
    <xf numFmtId="176" fontId="32" fillId="17" borderId="71" xfId="0" applyNumberFormat="1" applyFont="1" applyFill="1" applyBorder="1" applyAlignment="1">
      <alignment horizontal="center" vertical="center"/>
    </xf>
    <xf numFmtId="191" fontId="31" fillId="61" borderId="13" xfId="0" applyNumberFormat="1" applyFont="1" applyFill="1" applyBorder="1" applyAlignment="1">
      <alignment vertical="center"/>
    </xf>
    <xf numFmtId="0" fontId="40" fillId="16" borderId="201" xfId="0" applyFont="1" applyFill="1" applyBorder="1" applyAlignment="1">
      <alignment horizontal="left" vertical="center"/>
    </xf>
    <xf numFmtId="176" fontId="66" fillId="16" borderId="71" xfId="0" applyNumberFormat="1" applyFont="1" applyFill="1" applyBorder="1" applyAlignment="1">
      <alignment horizontal="right" vertical="center"/>
    </xf>
    <xf numFmtId="176" fontId="66" fillId="0" borderId="71" xfId="0" applyNumberFormat="1" applyFont="1" applyBorder="1" applyAlignment="1">
      <alignment horizontal="right" vertical="center"/>
    </xf>
    <xf numFmtId="176" fontId="123" fillId="16" borderId="201" xfId="0" applyNumberFormat="1" applyFont="1" applyFill="1" applyBorder="1" applyAlignment="1">
      <alignment horizontal="left" vertical="center" indent="1"/>
    </xf>
    <xf numFmtId="176" fontId="26" fillId="16" borderId="4" xfId="0" applyNumberFormat="1" applyFont="1" applyFill="1" applyBorder="1" applyAlignment="1">
      <alignment vertical="center"/>
    </xf>
    <xf numFmtId="0" fontId="31" fillId="46" borderId="13" xfId="0" applyFont="1" applyFill="1" applyBorder="1" applyAlignment="1">
      <alignment horizontal="center" vertical="center"/>
    </xf>
    <xf numFmtId="0" fontId="31" fillId="46" borderId="13" xfId="0" applyFont="1" applyFill="1" applyBorder="1" applyAlignment="1">
      <alignment horizontal="right" vertical="center"/>
    </xf>
    <xf numFmtId="0" fontId="38" fillId="41" borderId="181" xfId="0" applyFont="1" applyFill="1" applyBorder="1" applyAlignment="1">
      <alignment horizontal="left" vertical="center"/>
    </xf>
    <xf numFmtId="176" fontId="64" fillId="16" borderId="71" xfId="0" applyNumberFormat="1" applyFont="1" applyFill="1" applyBorder="1" applyAlignment="1">
      <alignment horizontal="right" vertical="center"/>
    </xf>
    <xf numFmtId="176" fontId="64" fillId="0" borderId="71" xfId="0" applyNumberFormat="1" applyFont="1" applyBorder="1" applyAlignment="1">
      <alignment horizontal="right" vertical="center"/>
    </xf>
    <xf numFmtId="176" fontId="36" fillId="41" borderId="181" xfId="0" applyNumberFormat="1" applyFont="1" applyFill="1" applyBorder="1" applyAlignment="1">
      <alignment horizontal="left" vertical="center" indent="1"/>
    </xf>
    <xf numFmtId="191" fontId="31" fillId="46" borderId="13" xfId="0" applyNumberFormat="1" applyFont="1" applyFill="1" applyBorder="1" applyAlignment="1">
      <alignment horizontal="right" vertical="center"/>
    </xf>
    <xf numFmtId="187" fontId="31" fillId="0" borderId="13" xfId="0" applyNumberFormat="1" applyFont="1" applyBorder="1" applyAlignment="1">
      <alignment horizontal="center" vertical="center"/>
    </xf>
    <xf numFmtId="0" fontId="40" fillId="67" borderId="167" xfId="0" applyFont="1" applyFill="1" applyBorder="1" applyAlignment="1">
      <alignment vertical="center"/>
    </xf>
    <xf numFmtId="0" fontId="40" fillId="67" borderId="173" xfId="0" applyFont="1" applyFill="1" applyBorder="1" applyAlignment="1">
      <alignment horizontal="center" vertical="center"/>
    </xf>
    <xf numFmtId="0" fontId="38" fillId="16" borderId="181" xfId="0" applyFont="1" applyFill="1" applyBorder="1" applyAlignment="1">
      <alignment horizontal="left" vertical="center"/>
    </xf>
    <xf numFmtId="176" fontId="58" fillId="0" borderId="71" xfId="0" applyNumberFormat="1" applyFont="1" applyBorder="1" applyAlignment="1">
      <alignment horizontal="right" vertical="center"/>
    </xf>
    <xf numFmtId="189" fontId="38" fillId="68" borderId="44" xfId="0" applyNumberFormat="1" applyFont="1" applyFill="1" applyBorder="1" applyAlignment="1">
      <alignment horizontal="right" vertical="center" indent="1"/>
    </xf>
    <xf numFmtId="0" fontId="26" fillId="45" borderId="13" xfId="0" applyFont="1" applyFill="1" applyBorder="1" applyAlignment="1">
      <alignment vertical="center"/>
    </xf>
    <xf numFmtId="0" fontId="40" fillId="66" borderId="169" xfId="0" applyFont="1" applyFill="1" applyBorder="1" applyAlignment="1">
      <alignment vertical="center"/>
    </xf>
    <xf numFmtId="176" fontId="64" fillId="16" borderId="0" xfId="0" applyNumberFormat="1" applyFont="1" applyFill="1" applyAlignment="1">
      <alignment horizontal="right" vertical="center"/>
    </xf>
    <xf numFmtId="176" fontId="123" fillId="44" borderId="193" xfId="0" applyNumberFormat="1" applyFont="1" applyFill="1" applyBorder="1" applyAlignment="1">
      <alignment horizontal="left" vertical="center" indent="1"/>
    </xf>
    <xf numFmtId="189" fontId="38" fillId="44" borderId="64" xfId="0" applyNumberFormat="1" applyFont="1" applyFill="1" applyBorder="1" applyAlignment="1">
      <alignment horizontal="right" vertical="center" indent="1"/>
    </xf>
    <xf numFmtId="0" fontId="33" fillId="0" borderId="0" xfId="0" applyFont="1" applyAlignment="1">
      <alignment horizontal="center" vertical="center" wrapText="1"/>
    </xf>
    <xf numFmtId="0" fontId="96" fillId="61" borderId="6" xfId="0" applyFont="1" applyFill="1" applyBorder="1" applyAlignment="1">
      <alignment horizontal="center" vertical="center" wrapText="1"/>
    </xf>
    <xf numFmtId="0" fontId="96" fillId="61" borderId="13" xfId="0" applyFont="1" applyFill="1" applyBorder="1" applyAlignment="1">
      <alignment horizontal="center" vertical="center" wrapText="1"/>
    </xf>
    <xf numFmtId="0" fontId="26" fillId="0" borderId="0" xfId="0" applyFont="1" applyAlignment="1">
      <alignment vertical="center" wrapText="1"/>
    </xf>
    <xf numFmtId="184" fontId="96" fillId="41" borderId="13" xfId="0" applyNumberFormat="1" applyFont="1" applyFill="1" applyBorder="1" applyAlignment="1">
      <alignment horizontal="center" vertical="center"/>
    </xf>
    <xf numFmtId="185" fontId="96" fillId="41" borderId="13" xfId="0" applyNumberFormat="1" applyFont="1" applyFill="1" applyBorder="1" applyAlignment="1">
      <alignment horizontal="center" vertical="center"/>
    </xf>
    <xf numFmtId="181" fontId="96" fillId="41" borderId="13" xfId="0" applyNumberFormat="1" applyFont="1" applyFill="1" applyBorder="1" applyAlignment="1">
      <alignment horizontal="center" vertical="center" wrapText="1"/>
    </xf>
    <xf numFmtId="0" fontId="31" fillId="0" borderId="0" xfId="0" applyFont="1" applyAlignment="1">
      <alignment vertical="center"/>
    </xf>
    <xf numFmtId="0" fontId="105" fillId="41" borderId="13" xfId="0" applyFont="1" applyFill="1" applyBorder="1" applyAlignment="1">
      <alignment horizontal="center" vertical="center"/>
    </xf>
    <xf numFmtId="184" fontId="105" fillId="41" borderId="13" xfId="0" applyNumberFormat="1" applyFont="1" applyFill="1" applyBorder="1" applyAlignment="1">
      <alignment horizontal="center" vertical="center"/>
    </xf>
    <xf numFmtId="185" fontId="105" fillId="41" borderId="13" xfId="0" applyNumberFormat="1" applyFont="1" applyFill="1" applyBorder="1" applyAlignment="1">
      <alignment horizontal="center" vertical="center"/>
    </xf>
    <xf numFmtId="176" fontId="26" fillId="0" borderId="0" xfId="0" applyNumberFormat="1" applyFont="1" applyAlignment="1">
      <alignment horizontal="center" vertical="center"/>
    </xf>
    <xf numFmtId="0" fontId="96" fillId="16" borderId="26" xfId="0" applyFont="1" applyFill="1" applyBorder="1" applyAlignment="1">
      <alignment horizontal="center" vertical="center"/>
    </xf>
    <xf numFmtId="184" fontId="96" fillId="16" borderId="26" xfId="0" applyNumberFormat="1" applyFont="1" applyFill="1" applyBorder="1" applyAlignment="1">
      <alignment horizontal="center" vertical="center"/>
    </xf>
    <xf numFmtId="185" fontId="96" fillId="16" borderId="26" xfId="0" applyNumberFormat="1" applyFont="1" applyFill="1" applyBorder="1" applyAlignment="1">
      <alignment horizontal="center" vertical="center"/>
    </xf>
    <xf numFmtId="0" fontId="40" fillId="49" borderId="31" xfId="0" applyFont="1" applyFill="1" applyBorder="1" applyAlignment="1" applyProtection="1">
      <alignment horizontal="left" vertical="center"/>
      <protection locked="0"/>
    </xf>
    <xf numFmtId="0" fontId="40" fillId="66" borderId="174" xfId="0" applyFont="1" applyFill="1" applyBorder="1" applyAlignment="1" applyProtection="1">
      <alignment horizontal="center" vertical="center"/>
      <protection locked="0"/>
    </xf>
    <xf numFmtId="0" fontId="26" fillId="45" borderId="13" xfId="0" applyFont="1" applyFill="1" applyBorder="1" applyAlignment="1" applyProtection="1">
      <alignment horizontal="center" vertical="center"/>
      <protection locked="0"/>
    </xf>
    <xf numFmtId="0" fontId="31" fillId="15" borderId="13" xfId="0" applyFont="1" applyFill="1" applyBorder="1" applyAlignment="1" applyProtection="1">
      <alignment horizontal="center" vertical="center"/>
      <protection locked="0"/>
    </xf>
    <xf numFmtId="0" fontId="28" fillId="0" borderId="186" xfId="0" applyFont="1" applyBorder="1" applyAlignment="1">
      <alignment horizontal="center" vertical="center" wrapText="1"/>
    </xf>
    <xf numFmtId="176" fontId="35" fillId="0" borderId="203" xfId="0" applyNumberFormat="1" applyFont="1" applyBorder="1" applyAlignment="1">
      <alignment horizontal="center" vertical="center"/>
    </xf>
    <xf numFmtId="176" fontId="35" fillId="0" borderId="66" xfId="0" applyNumberFormat="1" applyFont="1" applyBorder="1" applyAlignment="1">
      <alignment horizontal="center" vertical="center"/>
    </xf>
    <xf numFmtId="176" fontId="35" fillId="0" borderId="195" xfId="0" applyNumberFormat="1" applyFont="1" applyBorder="1" applyAlignment="1">
      <alignment horizontal="center" vertical="center"/>
    </xf>
    <xf numFmtId="176" fontId="35" fillId="0" borderId="69" xfId="0" applyNumberFormat="1" applyFont="1" applyBorder="1" applyAlignment="1">
      <alignment horizontal="center" vertical="center"/>
    </xf>
    <xf numFmtId="176" fontId="35" fillId="0" borderId="163" xfId="0" applyNumberFormat="1" applyFont="1" applyBorder="1" applyAlignment="1">
      <alignment horizontal="center" vertical="center"/>
    </xf>
    <xf numFmtId="0" fontId="52" fillId="0" borderId="185" xfId="0" applyFont="1" applyBorder="1" applyAlignment="1">
      <alignment horizontal="center" vertical="center" wrapText="1"/>
    </xf>
    <xf numFmtId="0" fontId="52" fillId="0" borderId="57" xfId="0" applyFont="1" applyBorder="1" applyAlignment="1">
      <alignment horizontal="center" vertical="center" wrapText="1"/>
    </xf>
    <xf numFmtId="14" fontId="52" fillId="0" borderId="57" xfId="0" applyNumberFormat="1" applyFont="1" applyBorder="1" applyAlignment="1">
      <alignment horizontal="center" vertical="center" wrapText="1"/>
    </xf>
    <xf numFmtId="0" fontId="121" fillId="0" borderId="19" xfId="0" applyFont="1" applyBorder="1" applyAlignment="1">
      <alignment horizontal="left" vertical="center"/>
    </xf>
    <xf numFmtId="180" fontId="36" fillId="0" borderId="19" xfId="0" applyNumberFormat="1" applyFont="1" applyBorder="1" applyAlignment="1">
      <alignment horizontal="right" vertical="center" indent="1"/>
    </xf>
    <xf numFmtId="176" fontId="31" fillId="0" borderId="184" xfId="0" applyNumberFormat="1" applyFont="1" applyBorder="1" applyAlignment="1">
      <alignment vertical="center"/>
    </xf>
    <xf numFmtId="178" fontId="36" fillId="0" borderId="53" xfId="0" applyNumberFormat="1" applyFont="1" applyBorder="1" applyAlignment="1">
      <alignment horizontal="right" vertical="center"/>
    </xf>
    <xf numFmtId="0" fontId="31" fillId="0" borderId="54" xfId="0" applyFont="1" applyBorder="1" applyAlignment="1">
      <alignment horizontal="left" vertical="center"/>
    </xf>
    <xf numFmtId="180" fontId="36" fillId="0" borderId="54" xfId="0" applyNumberFormat="1" applyFont="1" applyBorder="1" applyAlignment="1">
      <alignment horizontal="right" vertical="center" indent="1"/>
    </xf>
    <xf numFmtId="176" fontId="29" fillId="0" borderId="181" xfId="0" applyNumberFormat="1" applyFont="1" applyBorder="1" applyAlignment="1">
      <alignment vertical="center"/>
    </xf>
    <xf numFmtId="0" fontId="29" fillId="0" borderId="54" xfId="0" applyFont="1" applyBorder="1" applyAlignment="1">
      <alignment horizontal="left" vertical="center"/>
    </xf>
    <xf numFmtId="176" fontId="31" fillId="0" borderId="181" xfId="0" applyNumberFormat="1" applyFont="1" applyBorder="1" applyAlignment="1">
      <alignment vertical="center"/>
    </xf>
    <xf numFmtId="0" fontId="52" fillId="0" borderId="31" xfId="0" applyFont="1" applyBorder="1" applyAlignment="1">
      <alignment horizontal="center" vertical="center"/>
    </xf>
    <xf numFmtId="176" fontId="121" fillId="0" borderId="181" xfId="0" applyNumberFormat="1" applyFont="1" applyBorder="1" applyAlignment="1">
      <alignment vertical="center"/>
    </xf>
    <xf numFmtId="0" fontId="31" fillId="0" borderId="2" xfId="0" applyFont="1" applyBorder="1" applyAlignment="1">
      <alignment horizontal="center" vertical="center"/>
    </xf>
    <xf numFmtId="176" fontId="116" fillId="0" borderId="181" xfId="0" applyNumberFormat="1" applyFont="1" applyBorder="1" applyAlignment="1">
      <alignment vertical="center"/>
    </xf>
    <xf numFmtId="0" fontId="36" fillId="0" borderId="31" xfId="0" applyFont="1" applyBorder="1" applyAlignment="1">
      <alignment vertical="center"/>
    </xf>
    <xf numFmtId="0" fontId="31" fillId="0" borderId="31" xfId="0" applyFont="1" applyBorder="1" applyAlignment="1">
      <alignment horizontal="center" vertical="center"/>
    </xf>
    <xf numFmtId="0" fontId="40" fillId="0" borderId="31" xfId="0" applyFont="1" applyBorder="1" applyAlignment="1" applyProtection="1">
      <alignment horizontal="left" vertical="center"/>
      <protection locked="0"/>
    </xf>
    <xf numFmtId="0" fontId="40" fillId="0" borderId="31" xfId="0" applyFont="1" applyBorder="1" applyAlignment="1">
      <alignment horizontal="left" vertical="center"/>
    </xf>
    <xf numFmtId="0" fontId="40" fillId="0" borderId="64" xfId="0" applyFont="1" applyBorder="1" applyAlignment="1">
      <alignment horizontal="left" vertical="center"/>
    </xf>
    <xf numFmtId="0" fontId="40" fillId="0" borderId="184" xfId="0" applyFont="1" applyBorder="1" applyAlignment="1">
      <alignment vertical="center"/>
    </xf>
    <xf numFmtId="0" fontId="40" fillId="0" borderId="181" xfId="0" applyFont="1" applyBorder="1" applyAlignment="1">
      <alignment vertical="center"/>
    </xf>
    <xf numFmtId="176" fontId="31" fillId="0" borderId="183" xfId="0" applyNumberFormat="1" applyFont="1" applyBorder="1" applyAlignment="1">
      <alignment vertical="center"/>
    </xf>
    <xf numFmtId="0" fontId="31" fillId="0" borderId="15" xfId="0" applyFont="1" applyBorder="1" applyAlignment="1">
      <alignment horizontal="left" vertical="center"/>
    </xf>
    <xf numFmtId="180" fontId="36" fillId="0" borderId="15" xfId="0" applyNumberFormat="1" applyFont="1" applyBorder="1" applyAlignment="1">
      <alignment horizontal="right" vertical="center" indent="1"/>
    </xf>
    <xf numFmtId="0" fontId="38" fillId="0" borderId="181" xfId="0" applyFont="1" applyBorder="1" applyAlignment="1">
      <alignment vertical="center"/>
    </xf>
    <xf numFmtId="0" fontId="33" fillId="0" borderId="193" xfId="0" applyFont="1" applyBorder="1" applyAlignment="1">
      <alignment horizontal="left" vertical="center"/>
    </xf>
    <xf numFmtId="0" fontId="31" fillId="0" borderId="182" xfId="0" applyFont="1" applyBorder="1" applyAlignment="1">
      <alignment vertical="center"/>
    </xf>
    <xf numFmtId="178" fontId="36" fillId="0" borderId="14" xfId="0" applyNumberFormat="1" applyFont="1" applyBorder="1" applyAlignment="1">
      <alignment horizontal="right" vertical="center"/>
    </xf>
    <xf numFmtId="179" fontId="36" fillId="0" borderId="63" xfId="0" applyNumberFormat="1" applyFont="1" applyBorder="1" applyAlignment="1">
      <alignment horizontal="right" vertical="center" indent="1"/>
    </xf>
    <xf numFmtId="176" fontId="32" fillId="0" borderId="71" xfId="0" applyNumberFormat="1" applyFont="1" applyBorder="1" applyAlignment="1">
      <alignment horizontal="center" vertical="center"/>
    </xf>
    <xf numFmtId="0" fontId="40" fillId="0" borderId="201" xfId="0" applyFont="1" applyBorder="1" applyAlignment="1">
      <alignment horizontal="left" vertical="center"/>
    </xf>
    <xf numFmtId="176" fontId="123" fillId="0" borderId="201" xfId="0" applyNumberFormat="1" applyFont="1" applyBorder="1" applyAlignment="1">
      <alignment horizontal="left" vertical="center" indent="1"/>
    </xf>
    <xf numFmtId="0" fontId="38" fillId="0" borderId="181" xfId="0" applyFont="1" applyBorder="1" applyAlignment="1">
      <alignment horizontal="left" vertical="center"/>
    </xf>
    <xf numFmtId="176" fontId="36" fillId="0" borderId="181" xfId="0" applyNumberFormat="1" applyFont="1" applyBorder="1" applyAlignment="1">
      <alignment horizontal="left" vertical="center" indent="1"/>
    </xf>
    <xf numFmtId="176" fontId="123" fillId="0" borderId="193" xfId="0" applyNumberFormat="1" applyFont="1" applyBorder="1" applyAlignment="1">
      <alignment horizontal="left" vertical="center" indent="1"/>
    </xf>
    <xf numFmtId="0" fontId="96" fillId="0" borderId="6" xfId="0" applyFont="1" applyBorder="1" applyAlignment="1">
      <alignment horizontal="center" vertical="center" wrapText="1"/>
    </xf>
    <xf numFmtId="0" fontId="96" fillId="0" borderId="13" xfId="0" applyFont="1" applyBorder="1" applyAlignment="1">
      <alignment horizontal="center" vertical="center" wrapText="1"/>
    </xf>
    <xf numFmtId="0" fontId="108" fillId="44" borderId="31" xfId="0" applyFont="1" applyFill="1" applyBorder="1" applyAlignment="1" applyProtection="1">
      <alignment horizontal="center" vertical="center"/>
      <protection locked="0"/>
    </xf>
    <xf numFmtId="0" fontId="32" fillId="44" borderId="187" xfId="0" applyFont="1" applyFill="1" applyBorder="1" applyAlignment="1" applyProtection="1">
      <alignment horizontal="center" vertical="center"/>
      <protection locked="0"/>
    </xf>
    <xf numFmtId="0" fontId="32" fillId="44" borderId="202" xfId="0" applyFont="1" applyFill="1" applyBorder="1" applyAlignment="1" applyProtection="1">
      <alignment horizontal="center" vertical="center"/>
      <protection locked="0"/>
    </xf>
    <xf numFmtId="176" fontId="28" fillId="42" borderId="31" xfId="0" applyNumberFormat="1" applyFont="1" applyFill="1" applyBorder="1" applyAlignment="1" applyProtection="1">
      <alignment horizontal="center" vertical="center"/>
      <protection locked="0"/>
    </xf>
    <xf numFmtId="0" fontId="32" fillId="42" borderId="198" xfId="0" applyFont="1" applyFill="1" applyBorder="1" applyAlignment="1" applyProtection="1">
      <alignment horizontal="center" vertical="center"/>
      <protection locked="0"/>
    </xf>
    <xf numFmtId="0" fontId="32" fillId="42" borderId="187" xfId="0" applyFont="1" applyFill="1" applyBorder="1" applyAlignment="1" applyProtection="1">
      <alignment horizontal="center" vertical="center"/>
      <protection locked="0"/>
    </xf>
    <xf numFmtId="192" fontId="38" fillId="42" borderId="196" xfId="0" applyNumberFormat="1" applyFont="1" applyFill="1" applyBorder="1" applyAlignment="1" applyProtection="1">
      <alignment horizontal="right" vertical="center" indent="1"/>
      <protection locked="0"/>
    </xf>
    <xf numFmtId="192" fontId="36" fillId="42" borderId="187" xfId="0" applyNumberFormat="1" applyFont="1" applyFill="1" applyBorder="1" applyAlignment="1" applyProtection="1">
      <alignment horizontal="right" vertical="center" indent="1"/>
      <protection locked="0"/>
    </xf>
    <xf numFmtId="192" fontId="36" fillId="42" borderId="199" xfId="0" applyNumberFormat="1" applyFont="1" applyFill="1" applyBorder="1" applyAlignment="1" applyProtection="1">
      <alignment horizontal="right" vertical="center" indent="1"/>
      <protection locked="0"/>
    </xf>
    <xf numFmtId="192" fontId="36" fillId="42" borderId="20" xfId="0" applyNumberFormat="1" applyFont="1" applyFill="1" applyBorder="1" applyAlignment="1" applyProtection="1">
      <alignment horizontal="right" vertical="center" indent="1"/>
      <protection locked="0"/>
    </xf>
    <xf numFmtId="192" fontId="36" fillId="42" borderId="56" xfId="0" applyNumberFormat="1" applyFont="1" applyFill="1" applyBorder="1" applyAlignment="1" applyProtection="1">
      <alignment horizontal="right" vertical="center" indent="1"/>
      <protection locked="0"/>
    </xf>
    <xf numFmtId="189" fontId="38" fillId="42" borderId="43" xfId="0" applyNumberFormat="1" applyFont="1" applyFill="1" applyBorder="1" applyAlignment="1" applyProtection="1">
      <alignment horizontal="right" vertical="center" indent="1"/>
      <protection locked="0"/>
    </xf>
    <xf numFmtId="189" fontId="38" fillId="42" borderId="59" xfId="0" applyNumberFormat="1" applyFont="1" applyFill="1" applyBorder="1" applyAlignment="1" applyProtection="1">
      <alignment horizontal="right" vertical="center" indent="1"/>
      <protection locked="0"/>
    </xf>
    <xf numFmtId="189" fontId="38" fillId="42" borderId="68" xfId="0" applyNumberFormat="1" applyFont="1" applyFill="1" applyBorder="1" applyAlignment="1" applyProtection="1">
      <alignment horizontal="right" vertical="center" indent="1"/>
      <protection locked="0"/>
    </xf>
    <xf numFmtId="189" fontId="36" fillId="69" borderId="200" xfId="0" applyNumberFormat="1" applyFont="1" applyFill="1" applyBorder="1" applyAlignment="1">
      <alignment horizontal="right" vertical="center" indent="1"/>
    </xf>
    <xf numFmtId="180" fontId="55" fillId="69" borderId="32" xfId="0" applyNumberFormat="1" applyFont="1" applyFill="1" applyBorder="1" applyAlignment="1">
      <alignment horizontal="right" vertical="center" indent="1"/>
    </xf>
    <xf numFmtId="178" fontId="36" fillId="69" borderId="198" xfId="0" applyNumberFormat="1" applyFont="1" applyFill="1" applyBorder="1" applyAlignment="1">
      <alignment horizontal="right" vertical="center" indent="1"/>
    </xf>
    <xf numFmtId="190" fontId="36" fillId="69" borderId="2" xfId="3" applyNumberFormat="1" applyFont="1" applyFill="1" applyBorder="1" applyAlignment="1" applyProtection="1">
      <alignment horizontal="right" vertical="center" indent="1"/>
    </xf>
    <xf numFmtId="188" fontId="38" fillId="69" borderId="204" xfId="0" applyNumberFormat="1" applyFont="1" applyFill="1" applyBorder="1" applyAlignment="1">
      <alignment horizontal="right" vertical="center" indent="1"/>
    </xf>
    <xf numFmtId="2" fontId="38" fillId="69" borderId="31" xfId="0" applyNumberFormat="1" applyFont="1" applyFill="1" applyBorder="1" applyAlignment="1">
      <alignment horizontal="right" vertical="center" indent="1"/>
    </xf>
    <xf numFmtId="178" fontId="38" fillId="69" borderId="204" xfId="0" applyNumberFormat="1" applyFont="1" applyFill="1" applyBorder="1" applyAlignment="1">
      <alignment horizontal="right" vertical="center" indent="1"/>
    </xf>
    <xf numFmtId="176" fontId="38" fillId="69" borderId="64" xfId="0" applyNumberFormat="1" applyFont="1" applyFill="1" applyBorder="1" applyAlignment="1">
      <alignment horizontal="right" vertical="center" indent="1"/>
    </xf>
    <xf numFmtId="178" fontId="36" fillId="69" borderId="196" xfId="0" applyNumberFormat="1" applyFont="1" applyFill="1" applyBorder="1" applyAlignment="1">
      <alignment horizontal="right" vertical="center" indent="1"/>
    </xf>
    <xf numFmtId="178" fontId="38" fillId="69" borderId="43" xfId="3" applyNumberFormat="1" applyFont="1" applyFill="1" applyBorder="1" applyAlignment="1" applyProtection="1">
      <alignment horizontal="right" vertical="center" indent="1"/>
    </xf>
    <xf numFmtId="178" fontId="36" fillId="69" borderId="197" xfId="0" applyNumberFormat="1" applyFont="1" applyFill="1" applyBorder="1" applyAlignment="1">
      <alignment horizontal="right" vertical="center" indent="1"/>
    </xf>
    <xf numFmtId="178" fontId="38" fillId="69" borderId="4" xfId="3" applyNumberFormat="1" applyFont="1" applyFill="1" applyBorder="1" applyAlignment="1" applyProtection="1">
      <alignment horizontal="right" vertical="center" indent="1"/>
    </xf>
    <xf numFmtId="178" fontId="38" fillId="69" borderId="59" xfId="3" applyNumberFormat="1" applyFont="1" applyFill="1" applyBorder="1" applyAlignment="1" applyProtection="1">
      <alignment horizontal="right" vertical="center" indent="1"/>
    </xf>
    <xf numFmtId="178" fontId="38" fillId="69" borderId="68" xfId="3" applyNumberFormat="1" applyFont="1" applyFill="1" applyBorder="1" applyAlignment="1" applyProtection="1">
      <alignment horizontal="right" vertical="center" indent="1"/>
    </xf>
    <xf numFmtId="178" fontId="36" fillId="69" borderId="204" xfId="0" applyNumberFormat="1" applyFont="1" applyFill="1" applyBorder="1" applyAlignment="1">
      <alignment horizontal="right" vertical="center" indent="1"/>
    </xf>
    <xf numFmtId="190" fontId="36" fillId="69" borderId="64" xfId="3" applyNumberFormat="1" applyFont="1" applyFill="1" applyBorder="1" applyAlignment="1" applyProtection="1">
      <alignment horizontal="right" vertical="center" indent="1"/>
    </xf>
    <xf numFmtId="189" fontId="36" fillId="69" borderId="62" xfId="0" applyNumberFormat="1" applyFont="1" applyFill="1" applyBorder="1" applyAlignment="1">
      <alignment horizontal="right" vertical="center" indent="1"/>
    </xf>
    <xf numFmtId="176" fontId="26" fillId="69" borderId="4" xfId="0" applyNumberFormat="1" applyFont="1" applyFill="1" applyBorder="1" applyAlignment="1">
      <alignment vertical="center"/>
    </xf>
    <xf numFmtId="176" fontId="26" fillId="69" borderId="11" xfId="0" applyNumberFormat="1" applyFont="1" applyFill="1" applyBorder="1" applyAlignment="1">
      <alignment vertical="center"/>
    </xf>
    <xf numFmtId="189" fontId="38" fillId="69" borderId="44" xfId="0" applyNumberFormat="1" applyFont="1" applyFill="1" applyBorder="1" applyAlignment="1">
      <alignment horizontal="right" vertical="center" indent="1"/>
    </xf>
    <xf numFmtId="189" fontId="38" fillId="69" borderId="64" xfId="0" applyNumberFormat="1" applyFont="1" applyFill="1" applyBorder="1" applyAlignment="1">
      <alignment horizontal="right" vertical="center" indent="1"/>
    </xf>
    <xf numFmtId="0" fontId="28" fillId="69" borderId="206" xfId="0" applyFont="1" applyFill="1" applyBorder="1" applyAlignment="1">
      <alignment horizontal="center" vertical="center"/>
    </xf>
    <xf numFmtId="0" fontId="37" fillId="69" borderId="64" xfId="0" applyFont="1" applyFill="1" applyBorder="1" applyAlignment="1">
      <alignment horizontal="center" vertical="center"/>
    </xf>
    <xf numFmtId="0" fontId="38" fillId="44" borderId="171" xfId="0" applyFont="1" applyFill="1" applyBorder="1" applyAlignment="1" applyProtection="1">
      <alignment horizontal="right" vertical="center" indent="1"/>
      <protection locked="0"/>
    </xf>
    <xf numFmtId="0" fontId="40" fillId="44" borderId="167" xfId="0" applyFont="1" applyFill="1" applyBorder="1" applyAlignment="1">
      <alignment vertical="center"/>
    </xf>
    <xf numFmtId="0" fontId="38" fillId="44" borderId="172" xfId="0" applyFont="1" applyFill="1" applyBorder="1" applyAlignment="1" applyProtection="1">
      <alignment horizontal="right" vertical="center" indent="1"/>
      <protection locked="0"/>
    </xf>
    <xf numFmtId="0" fontId="40" fillId="44" borderId="169" xfId="0" applyFont="1" applyFill="1" applyBorder="1" applyAlignment="1">
      <alignment vertical="center"/>
    </xf>
    <xf numFmtId="0" fontId="40" fillId="44" borderId="173" xfId="0" applyFont="1" applyFill="1" applyBorder="1" applyAlignment="1">
      <alignment horizontal="center" vertical="center"/>
    </xf>
    <xf numFmtId="0" fontId="40" fillId="44" borderId="174" xfId="0" applyFont="1" applyFill="1" applyBorder="1" applyAlignment="1" applyProtection="1">
      <alignment horizontal="center" vertical="center"/>
      <protection locked="0"/>
    </xf>
    <xf numFmtId="184" fontId="96" fillId="69" borderId="13" xfId="0" applyNumberFormat="1" applyFont="1" applyFill="1" applyBorder="1" applyAlignment="1">
      <alignment horizontal="center" vertical="center"/>
    </xf>
    <xf numFmtId="185" fontId="96" fillId="69" borderId="13" xfId="0" applyNumberFormat="1" applyFont="1" applyFill="1" applyBorder="1" applyAlignment="1">
      <alignment horizontal="center" vertical="center"/>
    </xf>
    <xf numFmtId="181" fontId="96" fillId="69" borderId="13" xfId="0" applyNumberFormat="1" applyFont="1" applyFill="1" applyBorder="1" applyAlignment="1">
      <alignment horizontal="center" vertical="center" wrapText="1"/>
    </xf>
    <xf numFmtId="184" fontId="105" fillId="69" borderId="13" xfId="0" applyNumberFormat="1" applyFont="1" applyFill="1" applyBorder="1" applyAlignment="1">
      <alignment horizontal="center" vertical="center"/>
    </xf>
    <xf numFmtId="185" fontId="105" fillId="69" borderId="13" xfId="0" applyNumberFormat="1" applyFont="1" applyFill="1" applyBorder="1" applyAlignment="1">
      <alignment horizontal="center" vertical="center"/>
    </xf>
    <xf numFmtId="0" fontId="105" fillId="69" borderId="13" xfId="0" applyFont="1" applyFill="1" applyBorder="1" applyAlignment="1">
      <alignment horizontal="center" vertical="center"/>
    </xf>
    <xf numFmtId="184" fontId="96" fillId="69" borderId="26" xfId="0" applyNumberFormat="1" applyFont="1" applyFill="1" applyBorder="1" applyAlignment="1">
      <alignment horizontal="center" vertical="center"/>
    </xf>
    <xf numFmtId="185" fontId="96" fillId="69" borderId="26" xfId="0" applyNumberFormat="1" applyFont="1" applyFill="1" applyBorder="1" applyAlignment="1">
      <alignment horizontal="center" vertical="center"/>
    </xf>
    <xf numFmtId="0" fontId="96" fillId="69" borderId="26" xfId="0" applyFont="1" applyFill="1" applyBorder="1" applyAlignment="1">
      <alignment horizontal="center" vertical="center"/>
    </xf>
    <xf numFmtId="0" fontId="26" fillId="69" borderId="13" xfId="0" applyFont="1" applyFill="1" applyBorder="1" applyAlignment="1">
      <alignment horizontal="center" vertical="center"/>
    </xf>
    <xf numFmtId="0" fontId="30" fillId="69" borderId="13" xfId="0" applyFont="1" applyFill="1" applyBorder="1" applyAlignment="1">
      <alignment horizontal="center" vertical="center"/>
    </xf>
    <xf numFmtId="0" fontId="38" fillId="69" borderId="13" xfId="0" applyFont="1" applyFill="1" applyBorder="1" applyAlignment="1">
      <alignment horizontal="right" vertical="center"/>
    </xf>
    <xf numFmtId="0" fontId="31" fillId="69" borderId="13" xfId="0" applyFont="1" applyFill="1" applyBorder="1" applyAlignment="1">
      <alignment horizontal="center" vertical="center"/>
    </xf>
    <xf numFmtId="0" fontId="31" fillId="69" borderId="13" xfId="0" applyFont="1" applyFill="1" applyBorder="1" applyAlignment="1">
      <alignment horizontal="right" vertical="center"/>
    </xf>
    <xf numFmtId="0" fontId="31" fillId="69" borderId="13" xfId="0" applyFont="1" applyFill="1" applyBorder="1" applyAlignment="1">
      <alignment vertical="center"/>
    </xf>
    <xf numFmtId="0" fontId="31" fillId="69" borderId="53" xfId="0" applyFont="1" applyFill="1" applyBorder="1" applyAlignment="1">
      <alignment vertical="center"/>
    </xf>
    <xf numFmtId="191" fontId="31" fillId="69" borderId="13" xfId="0" applyNumberFormat="1" applyFont="1" applyFill="1" applyBorder="1" applyAlignment="1">
      <alignment vertical="center"/>
    </xf>
    <xf numFmtId="191" fontId="31" fillId="69" borderId="13" xfId="0" applyNumberFormat="1" applyFont="1" applyFill="1" applyBorder="1" applyAlignment="1">
      <alignment horizontal="right" vertical="center"/>
    </xf>
    <xf numFmtId="0" fontId="26" fillId="69" borderId="13" xfId="0" applyFont="1" applyFill="1" applyBorder="1" applyAlignment="1">
      <alignment vertical="center"/>
    </xf>
    <xf numFmtId="187" fontId="31" fillId="69" borderId="13" xfId="0" applyNumberFormat="1" applyFont="1" applyFill="1" applyBorder="1" applyAlignment="1">
      <alignment horizontal="center" vertical="center"/>
    </xf>
    <xf numFmtId="0" fontId="31" fillId="69" borderId="13" xfId="0" applyFont="1" applyFill="1" applyBorder="1" applyAlignment="1" applyProtection="1">
      <alignment horizontal="center" vertical="center"/>
      <protection locked="0"/>
    </xf>
    <xf numFmtId="0" fontId="39" fillId="46" borderId="31" xfId="0" applyFont="1" applyFill="1" applyBorder="1" applyAlignment="1">
      <alignment horizontal="left" vertical="center" wrapText="1"/>
    </xf>
    <xf numFmtId="0" fontId="26" fillId="46" borderId="213" xfId="0" applyFont="1" applyFill="1" applyBorder="1" applyAlignment="1">
      <alignment horizontal="center" vertical="center"/>
    </xf>
    <xf numFmtId="0" fontId="26" fillId="46" borderId="214" xfId="0" applyFont="1" applyFill="1" applyBorder="1" applyAlignment="1">
      <alignment vertical="center"/>
    </xf>
    <xf numFmtId="0" fontId="26" fillId="46" borderId="13" xfId="0" applyFont="1" applyFill="1" applyBorder="1" applyAlignment="1" applyProtection="1">
      <alignment horizontal="center" vertical="center"/>
      <protection locked="0"/>
    </xf>
    <xf numFmtId="0" fontId="87" fillId="44" borderId="8" xfId="0" applyFont="1" applyFill="1" applyBorder="1" applyAlignment="1" applyProtection="1">
      <alignment horizontal="left" vertical="center" wrapText="1" indent="1"/>
      <protection locked="0"/>
    </xf>
    <xf numFmtId="0" fontId="87" fillId="44" borderId="67" xfId="0" applyFont="1" applyFill="1" applyBorder="1" applyAlignment="1" applyProtection="1">
      <alignment horizontal="left" vertical="center" wrapText="1" indent="1"/>
      <protection locked="0"/>
    </xf>
    <xf numFmtId="0" fontId="37" fillId="0" borderId="65" xfId="0" applyFont="1" applyBorder="1" applyAlignment="1">
      <alignment horizontal="center" vertical="center"/>
    </xf>
    <xf numFmtId="0" fontId="37" fillId="0" borderId="66" xfId="0" applyFont="1" applyBorder="1" applyAlignment="1">
      <alignment horizontal="center" vertical="center"/>
    </xf>
    <xf numFmtId="176" fontId="37" fillId="0" borderId="65" xfId="0" applyNumberFormat="1" applyFont="1" applyBorder="1" applyAlignment="1">
      <alignment horizontal="center" vertical="center"/>
    </xf>
    <xf numFmtId="176" fontId="37" fillId="0" borderId="66" xfId="0" applyNumberFormat="1" applyFont="1" applyBorder="1" applyAlignment="1">
      <alignment horizontal="center" vertical="center"/>
    </xf>
    <xf numFmtId="176" fontId="37" fillId="0" borderId="194" xfId="0" applyNumberFormat="1" applyFont="1" applyBorder="1" applyAlignment="1">
      <alignment horizontal="center" vertical="center"/>
    </xf>
    <xf numFmtId="0" fontId="29" fillId="44" borderId="60" xfId="0" applyFont="1" applyFill="1" applyBorder="1" applyAlignment="1" applyProtection="1">
      <alignment horizontal="left" vertical="center" wrapText="1" indent="1"/>
      <protection locked="0"/>
    </xf>
    <xf numFmtId="0" fontId="29" fillId="44" borderId="58" xfId="0" applyFont="1" applyFill="1" applyBorder="1" applyAlignment="1" applyProtection="1">
      <alignment horizontal="left" vertical="center" wrapText="1" indent="1"/>
      <protection locked="0"/>
    </xf>
    <xf numFmtId="0" fontId="29" fillId="44" borderId="205" xfId="0" applyFont="1" applyFill="1" applyBorder="1" applyAlignment="1" applyProtection="1">
      <alignment horizontal="left" vertical="center" wrapText="1" indent="1"/>
      <protection locked="0"/>
    </xf>
    <xf numFmtId="14" fontId="29" fillId="44" borderId="205" xfId="0" applyNumberFormat="1" applyFont="1" applyFill="1" applyBorder="1" applyAlignment="1" applyProtection="1">
      <alignment horizontal="center" vertical="center" wrapText="1"/>
      <protection locked="0"/>
    </xf>
    <xf numFmtId="14" fontId="29" fillId="44" borderId="44" xfId="0" applyNumberFormat="1" applyFont="1" applyFill="1" applyBorder="1" applyAlignment="1" applyProtection="1">
      <alignment horizontal="center" vertical="center" wrapText="1"/>
      <protection locked="0"/>
    </xf>
    <xf numFmtId="0" fontId="65" fillId="0" borderId="70" xfId="0" applyFont="1" applyBorder="1" applyAlignment="1">
      <alignment horizontal="left" vertical="center" indent="1"/>
    </xf>
    <xf numFmtId="0" fontId="65" fillId="0" borderId="164" xfId="0" applyFont="1" applyBorder="1" applyAlignment="1">
      <alignment horizontal="left" vertical="center" indent="1"/>
    </xf>
    <xf numFmtId="176" fontId="32" fillId="0" borderId="70" xfId="0" applyNumberFormat="1" applyFont="1" applyBorder="1" applyAlignment="1">
      <alignment horizontal="left" vertical="center" indent="1"/>
    </xf>
    <xf numFmtId="176" fontId="32" fillId="0" borderId="164" xfId="0" applyNumberFormat="1" applyFont="1" applyBorder="1" applyAlignment="1">
      <alignment horizontal="left" vertical="center" indent="1"/>
    </xf>
    <xf numFmtId="0" fontId="28" fillId="0" borderId="30" xfId="0" applyFont="1" applyBorder="1" applyAlignment="1">
      <alignment horizontal="center" vertical="center"/>
    </xf>
    <xf numFmtId="0" fontId="28" fillId="0" borderId="193" xfId="0" applyFont="1" applyBorder="1" applyAlignment="1">
      <alignment horizontal="center" vertical="center"/>
    </xf>
    <xf numFmtId="177" fontId="28" fillId="42" borderId="31" xfId="0" applyNumberFormat="1" applyFont="1" applyFill="1" applyBorder="1" applyAlignment="1" applyProtection="1">
      <alignment horizontal="center" vertical="center"/>
      <protection locked="0"/>
    </xf>
    <xf numFmtId="0" fontId="37" fillId="0" borderId="34" xfId="0" applyFont="1" applyBorder="1" applyAlignment="1">
      <alignment horizontal="left" vertical="center" indent="1"/>
    </xf>
    <xf numFmtId="0" fontId="37" fillId="0" borderId="54" xfId="0" applyFont="1" applyBorder="1" applyAlignment="1">
      <alignment horizontal="left" vertical="center" indent="1"/>
    </xf>
    <xf numFmtId="176" fontId="62" fillId="0" borderId="34" xfId="0" applyNumberFormat="1" applyFont="1" applyBorder="1" applyAlignment="1">
      <alignment horizontal="left" vertical="center" indent="1"/>
    </xf>
    <xf numFmtId="176" fontId="63" fillId="0" borderId="54" xfId="0" applyNumberFormat="1" applyFont="1" applyBorder="1" applyAlignment="1">
      <alignment horizontal="left" vertical="center" indent="1"/>
    </xf>
    <xf numFmtId="0" fontId="52" fillId="0" borderId="34" xfId="0" applyFont="1" applyBorder="1" applyAlignment="1">
      <alignment horizontal="left" vertical="center" indent="1"/>
    </xf>
    <xf numFmtId="0" fontId="52" fillId="0" borderId="54" xfId="0" applyFont="1" applyBorder="1" applyAlignment="1">
      <alignment horizontal="left" vertical="center" indent="1"/>
    </xf>
    <xf numFmtId="176" fontId="32" fillId="0" borderId="34" xfId="0" applyNumberFormat="1" applyFont="1" applyBorder="1" applyAlignment="1">
      <alignment horizontal="left" vertical="center" indent="1"/>
    </xf>
    <xf numFmtId="176" fontId="32" fillId="0" borderId="54" xfId="0" applyNumberFormat="1" applyFont="1" applyBorder="1" applyAlignment="1">
      <alignment horizontal="left" vertical="center" indent="1"/>
    </xf>
    <xf numFmtId="0" fontId="28" fillId="0" borderId="3" xfId="0" applyFont="1" applyBorder="1" applyAlignment="1">
      <alignment horizontal="center" vertical="center"/>
    </xf>
    <xf numFmtId="0" fontId="28" fillId="0" borderId="192" xfId="0" applyFont="1" applyBorder="1" applyAlignment="1">
      <alignment horizontal="center" vertical="center"/>
    </xf>
    <xf numFmtId="0" fontId="28" fillId="44" borderId="0" xfId="0" applyFont="1" applyFill="1" applyAlignment="1" applyProtection="1">
      <alignment horizontal="center" wrapText="1"/>
      <protection locked="0"/>
    </xf>
    <xf numFmtId="0" fontId="28" fillId="44" borderId="4" xfId="0" applyFont="1" applyFill="1" applyBorder="1" applyAlignment="1" applyProtection="1">
      <alignment horizontal="center" wrapText="1"/>
      <protection locked="0"/>
    </xf>
    <xf numFmtId="0" fontId="32" fillId="0" borderId="34" xfId="0" applyFont="1" applyBorder="1" applyAlignment="1">
      <alignment horizontal="left" vertical="center" indent="1"/>
    </xf>
    <xf numFmtId="0" fontId="32" fillId="0" borderId="54" xfId="0" applyFont="1" applyBorder="1" applyAlignment="1">
      <alignment horizontal="left" vertical="center" indent="1"/>
    </xf>
    <xf numFmtId="176" fontId="126" fillId="0" borderId="34" xfId="0" applyNumberFormat="1" applyFont="1" applyBorder="1" applyAlignment="1">
      <alignment horizontal="left" vertical="center" indent="1"/>
    </xf>
    <xf numFmtId="176" fontId="126" fillId="0" borderId="54" xfId="0" applyNumberFormat="1" applyFont="1" applyBorder="1" applyAlignment="1">
      <alignment horizontal="left" vertical="center" indent="1"/>
    </xf>
    <xf numFmtId="176" fontId="28" fillId="69" borderId="0" xfId="0" applyNumberFormat="1" applyFont="1" applyFill="1" applyAlignment="1" applyProtection="1">
      <alignment horizontal="center" vertical="top" wrapText="1"/>
      <protection locked="0"/>
    </xf>
    <xf numFmtId="0" fontId="28" fillId="69" borderId="0" xfId="0" applyFont="1" applyFill="1" applyAlignment="1" applyProtection="1">
      <alignment horizontal="center" vertical="top" wrapText="1"/>
      <protection locked="0"/>
    </xf>
    <xf numFmtId="0" fontId="28" fillId="69" borderId="4" xfId="0" applyFont="1" applyFill="1" applyBorder="1" applyAlignment="1" applyProtection="1">
      <alignment horizontal="center" vertical="top" wrapText="1"/>
      <protection locked="0"/>
    </xf>
    <xf numFmtId="0" fontId="120" fillId="0" borderId="30" xfId="0" applyFont="1" applyBorder="1" applyAlignment="1">
      <alignment horizontal="center" vertical="center"/>
    </xf>
    <xf numFmtId="0" fontId="120" fillId="0" borderId="193" xfId="0" applyFont="1" applyBorder="1" applyAlignment="1">
      <alignment horizontal="center" vertical="center"/>
    </xf>
    <xf numFmtId="176" fontId="115" fillId="0" borderId="34" xfId="0" applyNumberFormat="1" applyFont="1" applyBorder="1" applyAlignment="1">
      <alignment horizontal="left" vertical="center" indent="1"/>
    </xf>
    <xf numFmtId="176" fontId="115" fillId="0" borderId="54" xfId="0" applyNumberFormat="1" applyFont="1" applyBorder="1" applyAlignment="1">
      <alignment horizontal="left" vertical="center" indent="1"/>
    </xf>
    <xf numFmtId="0" fontId="37" fillId="0" borderId="10" xfId="0" applyFont="1" applyBorder="1" applyAlignment="1">
      <alignment horizontal="center" vertical="center"/>
    </xf>
    <xf numFmtId="0" fontId="37" fillId="0" borderId="209" xfId="0" applyFont="1" applyBorder="1" applyAlignment="1">
      <alignment horizontal="center" vertical="center"/>
    </xf>
    <xf numFmtId="49" fontId="26" fillId="44" borderId="0" xfId="0" applyNumberFormat="1" applyFont="1" applyFill="1" applyAlignment="1" applyProtection="1">
      <alignment horizontal="left" vertical="center" indent="1"/>
      <protection locked="0"/>
    </xf>
    <xf numFmtId="49" fontId="26" fillId="44" borderId="4" xfId="0" applyNumberFormat="1" applyFont="1" applyFill="1" applyBorder="1" applyAlignment="1" applyProtection="1">
      <alignment horizontal="left" vertical="center" indent="1"/>
      <protection locked="0"/>
    </xf>
    <xf numFmtId="0" fontId="37" fillId="0" borderId="1" xfId="0" applyFont="1" applyBorder="1" applyAlignment="1">
      <alignment horizontal="center" vertical="center"/>
    </xf>
    <xf numFmtId="0" fontId="37" fillId="0" borderId="207" xfId="0" applyFont="1" applyBorder="1" applyAlignment="1">
      <alignment horizontal="center" vertical="center"/>
    </xf>
    <xf numFmtId="186" fontId="26" fillId="44" borderId="32" xfId="0" applyNumberFormat="1" applyFont="1" applyFill="1" applyBorder="1" applyAlignment="1" applyProtection="1">
      <alignment horizontal="center" vertical="center"/>
      <protection locked="0"/>
    </xf>
    <xf numFmtId="186" fontId="26" fillId="44" borderId="160" xfId="0" applyNumberFormat="1" applyFont="1" applyFill="1" applyBorder="1" applyAlignment="1" applyProtection="1">
      <alignment horizontal="center" vertical="center"/>
      <protection locked="0"/>
    </xf>
    <xf numFmtId="0" fontId="37" fillId="0" borderId="32" xfId="0" applyFont="1" applyBorder="1" applyAlignment="1">
      <alignment horizontal="center" vertical="center"/>
    </xf>
    <xf numFmtId="0" fontId="26" fillId="44" borderId="208" xfId="0" applyFont="1" applyFill="1" applyBorder="1" applyAlignment="1" applyProtection="1">
      <alignment horizontal="center" vertical="center"/>
      <protection locked="0"/>
    </xf>
    <xf numFmtId="0" fontId="26" fillId="44" borderId="32" xfId="0" applyFont="1" applyFill="1" applyBorder="1" applyAlignment="1" applyProtection="1">
      <alignment horizontal="center" vertical="center"/>
      <protection locked="0"/>
    </xf>
    <xf numFmtId="0" fontId="32" fillId="0" borderId="37" xfId="0" applyFont="1" applyBorder="1" applyAlignment="1">
      <alignment horizontal="center" vertical="center" wrapText="1"/>
    </xf>
    <xf numFmtId="0" fontId="32" fillId="0" borderId="60" xfId="0" applyFont="1" applyBorder="1" applyAlignment="1">
      <alignment horizontal="center" vertical="center" wrapText="1"/>
    </xf>
    <xf numFmtId="0" fontId="125" fillId="69" borderId="57" xfId="0" applyFont="1" applyFill="1" applyBorder="1" applyAlignment="1">
      <alignment horizontal="center" vertical="center" wrapText="1"/>
    </xf>
    <xf numFmtId="0" fontId="125" fillId="69" borderId="60" xfId="0" applyFont="1" applyFill="1" applyBorder="1" applyAlignment="1">
      <alignment horizontal="center" vertical="center" wrapText="1"/>
    </xf>
    <xf numFmtId="187" fontId="26" fillId="69" borderId="57" xfId="0" applyNumberFormat="1" applyFont="1" applyFill="1" applyBorder="1" applyAlignment="1" applyProtection="1">
      <alignment horizontal="center" vertical="center" wrapText="1"/>
      <protection locked="0"/>
    </xf>
    <xf numFmtId="187" fontId="26" fillId="69" borderId="44" xfId="0" applyNumberFormat="1" applyFont="1" applyFill="1" applyBorder="1" applyAlignment="1" applyProtection="1">
      <alignment horizontal="center" vertical="center" wrapText="1"/>
      <protection locked="0"/>
    </xf>
    <xf numFmtId="176" fontId="37" fillId="0" borderId="34" xfId="0" applyNumberFormat="1" applyFont="1" applyBorder="1" applyAlignment="1">
      <alignment horizontal="left" vertical="center" indent="1"/>
    </xf>
    <xf numFmtId="176" fontId="37" fillId="0" borderId="54" xfId="0" applyNumberFormat="1" applyFont="1" applyBorder="1" applyAlignment="1">
      <alignment horizontal="left" vertical="center" indent="1"/>
    </xf>
    <xf numFmtId="0" fontId="32" fillId="0" borderId="1" xfId="0" applyFont="1" applyBorder="1" applyAlignment="1">
      <alignment horizontal="center" vertical="center" wrapText="1"/>
    </xf>
    <xf numFmtId="0" fontId="32" fillId="0" borderId="32" xfId="0" applyFont="1" applyBorder="1" applyAlignment="1">
      <alignment horizontal="center" vertical="center" wrapText="1"/>
    </xf>
    <xf numFmtId="0" fontId="113" fillId="69" borderId="162" xfId="0" applyFont="1" applyFill="1" applyBorder="1" applyAlignment="1">
      <alignment horizontal="center" vertical="center" wrapText="1"/>
    </xf>
    <xf numFmtId="0" fontId="113" fillId="69" borderId="32" xfId="0" applyFont="1" applyFill="1" applyBorder="1" applyAlignment="1">
      <alignment horizontal="center" vertical="center" wrapText="1"/>
    </xf>
    <xf numFmtId="187" fontId="32" fillId="69" borderId="162" xfId="0" applyNumberFormat="1" applyFont="1" applyFill="1" applyBorder="1" applyAlignment="1">
      <alignment horizontal="center" vertical="center" wrapText="1"/>
    </xf>
    <xf numFmtId="187" fontId="32" fillId="69" borderId="2" xfId="0" applyNumberFormat="1" applyFont="1" applyFill="1" applyBorder="1" applyAlignment="1">
      <alignment horizontal="center" vertical="center" wrapText="1"/>
    </xf>
    <xf numFmtId="0" fontId="38" fillId="0" borderId="31" xfId="0" applyFont="1" applyBorder="1" applyAlignment="1">
      <alignment horizontal="right" vertical="top"/>
    </xf>
    <xf numFmtId="0" fontId="39" fillId="0" borderId="34" xfId="0" applyFont="1" applyBorder="1" applyAlignment="1">
      <alignment horizontal="left" vertical="center" indent="1"/>
    </xf>
    <xf numFmtId="0" fontId="39" fillId="0" borderId="54" xfId="0" applyFont="1" applyBorder="1" applyAlignment="1">
      <alignment horizontal="left" vertical="center" indent="1"/>
    </xf>
    <xf numFmtId="0" fontId="39" fillId="0" borderId="179" xfId="0" applyFont="1" applyBorder="1" applyAlignment="1">
      <alignment horizontal="center" vertical="center" wrapText="1"/>
    </xf>
    <xf numFmtId="0" fontId="39" fillId="0" borderId="180" xfId="0" applyFont="1" applyBorder="1" applyAlignment="1">
      <alignment horizontal="center" vertical="center" wrapText="1"/>
    </xf>
    <xf numFmtId="0" fontId="38" fillId="0" borderId="32" xfId="0" applyFont="1" applyBorder="1" applyAlignment="1" applyProtection="1">
      <alignment horizontal="left" vertical="center" wrapText="1" indent="1"/>
      <protection locked="0"/>
    </xf>
    <xf numFmtId="0" fontId="38" fillId="0" borderId="2" xfId="0" applyFont="1" applyBorder="1" applyAlignment="1" applyProtection="1">
      <alignment horizontal="left" vertical="center" wrapText="1" indent="1"/>
      <protection locked="0"/>
    </xf>
    <xf numFmtId="0" fontId="38" fillId="0" borderId="0" xfId="0" applyFont="1" applyAlignment="1" applyProtection="1">
      <alignment horizontal="left" vertical="center" wrapText="1" indent="1"/>
      <protection locked="0"/>
    </xf>
    <xf numFmtId="0" fontId="38" fillId="0" borderId="4" xfId="0" applyFont="1" applyBorder="1" applyAlignment="1" applyProtection="1">
      <alignment horizontal="left" vertical="center" wrapText="1" indent="1"/>
      <protection locked="0"/>
    </xf>
    <xf numFmtId="0" fontId="37" fillId="0" borderId="0" xfId="0" applyFont="1" applyAlignment="1">
      <alignment horizontal="left" vertical="center" indent="1"/>
    </xf>
    <xf numFmtId="0" fontId="65" fillId="0" borderId="30" xfId="0" applyFont="1" applyBorder="1" applyAlignment="1">
      <alignment horizontal="center" vertical="center"/>
    </xf>
    <xf numFmtId="0" fontId="65" fillId="0" borderId="31" xfId="0" applyFont="1" applyBorder="1" applyAlignment="1">
      <alignment horizontal="center" vertical="center"/>
    </xf>
    <xf numFmtId="0" fontId="32" fillId="0" borderId="61" xfId="0" applyFont="1" applyBorder="1" applyAlignment="1">
      <alignment horizontal="left" vertical="center" indent="1"/>
    </xf>
    <xf numFmtId="0" fontId="32" fillId="0" borderId="15" xfId="0" applyFont="1" applyBorder="1" applyAlignment="1">
      <alignment horizontal="left" vertical="center" indent="1"/>
    </xf>
    <xf numFmtId="0" fontId="28" fillId="0" borderId="33" xfId="0" applyFont="1" applyBorder="1" applyAlignment="1">
      <alignment horizontal="center" vertical="center"/>
    </xf>
    <xf numFmtId="0" fontId="28" fillId="0" borderId="8" xfId="0" applyFont="1" applyBorder="1" applyAlignment="1">
      <alignment horizontal="center" vertical="center"/>
    </xf>
    <xf numFmtId="0" fontId="26" fillId="44" borderId="9" xfId="0" applyFont="1" applyFill="1" applyBorder="1" applyAlignment="1" applyProtection="1">
      <alignment horizontal="left" vertical="center" indent="1"/>
      <protection locked="0"/>
    </xf>
    <xf numFmtId="0" fontId="26" fillId="44" borderId="6" xfId="0" applyFont="1" applyFill="1" applyBorder="1" applyAlignment="1" applyProtection="1">
      <alignment horizontal="left" vertical="center" indent="1"/>
      <protection locked="0"/>
    </xf>
    <xf numFmtId="0" fontId="26" fillId="44" borderId="7" xfId="0" applyFont="1" applyFill="1" applyBorder="1" applyAlignment="1" applyProtection="1">
      <alignment horizontal="left" vertical="center" indent="1"/>
      <protection locked="0"/>
    </xf>
    <xf numFmtId="0" fontId="26" fillId="44" borderId="17" xfId="0" applyFont="1" applyFill="1" applyBorder="1" applyAlignment="1" applyProtection="1">
      <alignment horizontal="left" vertical="center" indent="1"/>
      <protection locked="0"/>
    </xf>
    <xf numFmtId="0" fontId="40" fillId="0" borderId="0" xfId="0" applyFont="1" applyAlignment="1">
      <alignment horizontal="center" vertical="center"/>
    </xf>
    <xf numFmtId="176" fontId="32" fillId="0" borderId="30" xfId="0" applyNumberFormat="1" applyFont="1" applyBorder="1" applyAlignment="1">
      <alignment horizontal="center" vertical="center"/>
    </xf>
    <xf numFmtId="176" fontId="32" fillId="0" borderId="31" xfId="0" applyNumberFormat="1" applyFont="1" applyBorder="1" applyAlignment="1">
      <alignment horizontal="center" vertical="center"/>
    </xf>
    <xf numFmtId="176" fontId="32" fillId="0" borderId="193" xfId="0" applyNumberFormat="1" applyFont="1" applyBorder="1" applyAlignment="1">
      <alignment horizontal="center" vertical="center"/>
    </xf>
    <xf numFmtId="0" fontId="27" fillId="0" borderId="175" xfId="0" applyFont="1" applyBorder="1" applyAlignment="1">
      <alignment horizontal="center" vertical="center"/>
    </xf>
    <xf numFmtId="0" fontId="27" fillId="0" borderId="176" xfId="0" applyFont="1" applyBorder="1" applyAlignment="1">
      <alignment horizontal="center" vertical="center"/>
    </xf>
    <xf numFmtId="0" fontId="27" fillId="0" borderId="177" xfId="0" applyFont="1" applyBorder="1" applyAlignment="1">
      <alignment horizontal="center" vertical="center"/>
    </xf>
    <xf numFmtId="0" fontId="95" fillId="44" borderId="210" xfId="0" applyFont="1" applyFill="1" applyBorder="1" applyAlignment="1" applyProtection="1">
      <alignment horizontal="center" vertical="center" wrapText="1"/>
      <protection locked="0"/>
    </xf>
    <xf numFmtId="0" fontId="95" fillId="44" borderId="211" xfId="0" applyFont="1" applyFill="1" applyBorder="1" applyAlignment="1" applyProtection="1">
      <alignment horizontal="center" vertical="center" wrapText="1"/>
      <protection locked="0"/>
    </xf>
    <xf numFmtId="0" fontId="95" fillId="44" borderId="212" xfId="0" applyFont="1" applyFill="1" applyBorder="1" applyAlignment="1" applyProtection="1">
      <alignment horizontal="center" vertical="center" wrapText="1"/>
      <protection locked="0"/>
    </xf>
    <xf numFmtId="0" fontId="95" fillId="44" borderId="10" xfId="0" applyFont="1" applyFill="1" applyBorder="1" applyAlignment="1" applyProtection="1">
      <alignment horizontal="center" vertical="center" wrapText="1"/>
      <protection locked="0"/>
    </xf>
    <xf numFmtId="0" fontId="95" fillId="44" borderId="28" xfId="0" applyFont="1" applyFill="1" applyBorder="1" applyAlignment="1" applyProtection="1">
      <alignment horizontal="center" vertical="center" wrapText="1"/>
      <protection locked="0"/>
    </xf>
    <xf numFmtId="0" fontId="95" fillId="44" borderId="11" xfId="0" applyFont="1" applyFill="1" applyBorder="1" applyAlignment="1" applyProtection="1">
      <alignment horizontal="center" vertical="center" wrapText="1"/>
      <protection locked="0"/>
    </xf>
    <xf numFmtId="0" fontId="31" fillId="44" borderId="3" xfId="0" applyFont="1" applyFill="1" applyBorder="1" applyAlignment="1" applyProtection="1">
      <alignment horizontal="center" vertical="center" wrapText="1"/>
      <protection locked="0"/>
    </xf>
    <xf numFmtId="0" fontId="31" fillId="44" borderId="0" xfId="0" applyFont="1" applyFill="1" applyAlignment="1" applyProtection="1">
      <alignment horizontal="center" vertical="center" wrapText="1"/>
      <protection locked="0"/>
    </xf>
    <xf numFmtId="0" fontId="31" fillId="44" borderId="4" xfId="0" applyFont="1" applyFill="1" applyBorder="1" applyAlignment="1" applyProtection="1">
      <alignment horizontal="center" vertical="center" wrapText="1"/>
      <protection locked="0"/>
    </xf>
    <xf numFmtId="0" fontId="31" fillId="44" borderId="10" xfId="0" applyFont="1" applyFill="1" applyBorder="1" applyAlignment="1" applyProtection="1">
      <alignment horizontal="center" vertical="center" wrapText="1"/>
      <protection locked="0"/>
    </xf>
    <xf numFmtId="0" fontId="31" fillId="44" borderId="28" xfId="0" applyFont="1" applyFill="1" applyBorder="1" applyAlignment="1" applyProtection="1">
      <alignment horizontal="center" vertical="center" wrapText="1"/>
      <protection locked="0"/>
    </xf>
    <xf numFmtId="0" fontId="31" fillId="44" borderId="11" xfId="0" applyFont="1" applyFill="1" applyBorder="1" applyAlignment="1" applyProtection="1">
      <alignment horizontal="center" vertical="center" wrapText="1"/>
      <protection locked="0"/>
    </xf>
    <xf numFmtId="0" fontId="32" fillId="0" borderId="37" xfId="0" applyFont="1" applyBorder="1" applyAlignment="1">
      <alignment horizontal="left" vertical="center" indent="1"/>
    </xf>
    <xf numFmtId="0" fontId="32" fillId="0" borderId="60" xfId="0" applyFont="1" applyBorder="1" applyAlignment="1">
      <alignment horizontal="left" vertical="center" indent="1"/>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59" fillId="0" borderId="34" xfId="0" applyFont="1" applyBorder="1" applyAlignment="1">
      <alignment horizontal="left" vertical="center" indent="1"/>
    </xf>
    <xf numFmtId="0" fontId="59" fillId="0" borderId="54" xfId="0" applyFont="1" applyBorder="1" applyAlignment="1">
      <alignment horizontal="left" vertical="center" indent="1"/>
    </xf>
    <xf numFmtId="176" fontId="32" fillId="0" borderId="175" xfId="0" applyNumberFormat="1" applyFont="1" applyBorder="1" applyAlignment="1">
      <alignment horizontal="center" vertical="center"/>
    </xf>
    <xf numFmtId="176" fontId="32" fillId="0" borderId="176" xfId="0" applyNumberFormat="1" applyFont="1" applyBorder="1" applyAlignment="1">
      <alignment horizontal="center" vertical="center"/>
    </xf>
    <xf numFmtId="176" fontId="32" fillId="0" borderId="17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60" xfId="0" applyFont="1" applyBorder="1" applyAlignment="1">
      <alignment horizontal="center" vertical="center"/>
    </xf>
    <xf numFmtId="0" fontId="26" fillId="44" borderId="58" xfId="0" applyFont="1" applyFill="1" applyBorder="1" applyAlignment="1" applyProtection="1">
      <alignment horizontal="left" vertical="center" indent="1"/>
      <protection locked="0"/>
    </xf>
    <xf numFmtId="0" fontId="26" fillId="44" borderId="26" xfId="0" applyFont="1" applyFill="1" applyBorder="1" applyAlignment="1" applyProtection="1">
      <alignment horizontal="left" vertical="center" indent="1"/>
      <protection locked="0"/>
    </xf>
    <xf numFmtId="0" fontId="26" fillId="44" borderId="57" xfId="0" applyFont="1" applyFill="1" applyBorder="1" applyAlignment="1" applyProtection="1">
      <alignment horizontal="left" vertical="center" indent="1"/>
      <protection locked="0"/>
    </xf>
    <xf numFmtId="0" fontId="26" fillId="44" borderId="25" xfId="0" applyFont="1" applyFill="1" applyBorder="1" applyAlignment="1" applyProtection="1">
      <alignment horizontal="left" vertical="center" indent="1"/>
      <protection locked="0"/>
    </xf>
    <xf numFmtId="0" fontId="37" fillId="0" borderId="70" xfId="0" applyFont="1" applyBorder="1" applyAlignment="1">
      <alignment horizontal="left" vertical="center" indent="1"/>
    </xf>
    <xf numFmtId="0" fontId="37" fillId="0" borderId="164" xfId="0" applyFont="1" applyBorder="1" applyAlignment="1">
      <alignment horizontal="left" vertical="center" indent="1"/>
    </xf>
    <xf numFmtId="176" fontId="62" fillId="0" borderId="70" xfId="0" applyNumberFormat="1" applyFont="1" applyBorder="1" applyAlignment="1">
      <alignment horizontal="left" vertical="center" indent="1"/>
    </xf>
    <xf numFmtId="176" fontId="62" fillId="0" borderId="164" xfId="0" applyNumberFormat="1" applyFont="1" applyBorder="1" applyAlignment="1">
      <alignment horizontal="left" vertical="center" indent="1"/>
    </xf>
    <xf numFmtId="176" fontId="26" fillId="69" borderId="42" xfId="0" applyNumberFormat="1" applyFont="1" applyFill="1" applyBorder="1" applyAlignment="1">
      <alignment horizontal="center" vertical="center"/>
    </xf>
    <xf numFmtId="176" fontId="26" fillId="69" borderId="19" xfId="0" applyNumberFormat="1" applyFont="1" applyFill="1" applyBorder="1" applyAlignment="1">
      <alignment horizontal="center" vertical="center"/>
    </xf>
    <xf numFmtId="0" fontId="28" fillId="0" borderId="34" xfId="0" applyFont="1" applyBorder="1" applyAlignment="1">
      <alignment horizontal="center" vertical="center"/>
    </xf>
    <xf numFmtId="0" fontId="28" fillId="0" borderId="54" xfId="0" applyFont="1" applyBorder="1" applyAlignment="1">
      <alignment horizontal="center" vertical="center"/>
    </xf>
    <xf numFmtId="0" fontId="26" fillId="44" borderId="56" xfId="0" applyFont="1" applyFill="1" applyBorder="1" applyAlignment="1" applyProtection="1">
      <alignment horizontal="left" vertical="center" indent="1"/>
      <protection locked="0"/>
    </xf>
    <xf numFmtId="0" fontId="26" fillId="44" borderId="13" xfId="0" applyFont="1" applyFill="1" applyBorder="1" applyAlignment="1" applyProtection="1">
      <alignment horizontal="left" vertical="center" indent="1"/>
      <protection locked="0"/>
    </xf>
    <xf numFmtId="0" fontId="26" fillId="44" borderId="53" xfId="0" applyFont="1" applyFill="1" applyBorder="1" applyAlignment="1" applyProtection="1">
      <alignment horizontal="left" vertical="center" indent="1"/>
      <protection locked="0"/>
    </xf>
    <xf numFmtId="0" fontId="26" fillId="44" borderId="21" xfId="0" applyFont="1" applyFill="1" applyBorder="1" applyAlignment="1" applyProtection="1">
      <alignment horizontal="left" vertical="center" indent="1"/>
      <protection locked="0"/>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194" xfId="0" applyFont="1" applyBorder="1" applyAlignment="1">
      <alignment horizontal="center" vertical="center"/>
    </xf>
    <xf numFmtId="176" fontId="32" fillId="0" borderId="65" xfId="0" applyNumberFormat="1" applyFont="1" applyBorder="1" applyAlignment="1">
      <alignment horizontal="center" vertical="center"/>
    </xf>
    <xf numFmtId="176" fontId="32" fillId="0" borderId="66" xfId="0" applyNumberFormat="1" applyFont="1" applyBorder="1" applyAlignment="1">
      <alignment horizontal="center" vertical="center"/>
    </xf>
    <xf numFmtId="176" fontId="32" fillId="0" borderId="194" xfId="0" applyNumberFormat="1" applyFont="1" applyBorder="1" applyAlignment="1">
      <alignment horizontal="center" vertical="center"/>
    </xf>
    <xf numFmtId="0" fontId="26" fillId="0" borderId="170" xfId="0" applyFont="1" applyBorder="1" applyAlignment="1">
      <alignment horizontal="left" vertical="center" indent="1"/>
    </xf>
    <xf numFmtId="0" fontId="26" fillId="0" borderId="189" xfId="0" applyFont="1" applyBorder="1" applyAlignment="1">
      <alignment horizontal="left" vertical="center" indent="1"/>
    </xf>
    <xf numFmtId="0" fontId="26" fillId="0" borderId="166" xfId="0" applyFont="1" applyBorder="1" applyAlignment="1" applyProtection="1">
      <alignment horizontal="left" vertical="center" indent="1"/>
      <protection locked="0"/>
    </xf>
    <xf numFmtId="0" fontId="26" fillId="0" borderId="191" xfId="0" applyFont="1" applyBorder="1" applyAlignment="1" applyProtection="1">
      <alignment horizontal="left" vertical="center" indent="1"/>
      <protection locked="0"/>
    </xf>
    <xf numFmtId="0" fontId="38" fillId="44" borderId="172" xfId="0" applyFont="1" applyFill="1" applyBorder="1" applyAlignment="1" applyProtection="1">
      <alignment horizontal="right" vertical="center" indent="1"/>
      <protection locked="0"/>
    </xf>
    <xf numFmtId="0" fontId="32" fillId="0" borderId="37" xfId="0" applyFont="1" applyBorder="1" applyAlignment="1">
      <alignment horizontal="center" vertical="center"/>
    </xf>
    <xf numFmtId="0" fontId="32" fillId="0" borderId="60" xfId="0" applyFont="1" applyBorder="1" applyAlignment="1">
      <alignment horizontal="center" vertical="center"/>
    </xf>
    <xf numFmtId="0" fontId="32" fillId="0" borderId="182" xfId="0" applyFont="1" applyBorder="1" applyAlignment="1">
      <alignment horizontal="center" vertical="center"/>
    </xf>
    <xf numFmtId="176" fontId="65" fillId="0" borderId="30" xfId="0" applyNumberFormat="1" applyFont="1" applyBorder="1" applyAlignment="1">
      <alignment horizontal="left" vertical="center" indent="1"/>
    </xf>
    <xf numFmtId="176" fontId="65" fillId="0" borderId="31" xfId="0" applyNumberFormat="1" applyFont="1" applyBorder="1" applyAlignment="1">
      <alignment horizontal="left" vertical="center" indent="1"/>
    </xf>
    <xf numFmtId="176" fontId="32" fillId="69" borderId="10" xfId="0" applyNumberFormat="1" applyFont="1" applyFill="1" applyBorder="1" applyAlignment="1">
      <alignment horizontal="center" vertical="center"/>
    </xf>
    <xf numFmtId="176" fontId="32" fillId="69" borderId="28" xfId="0" applyNumberFormat="1" applyFont="1" applyFill="1" applyBorder="1" applyAlignment="1">
      <alignment horizontal="center" vertical="center"/>
    </xf>
    <xf numFmtId="176" fontId="51" fillId="69" borderId="37" xfId="0" applyNumberFormat="1" applyFont="1" applyFill="1" applyBorder="1" applyAlignment="1">
      <alignment horizontal="center" vertical="center"/>
    </xf>
    <xf numFmtId="176" fontId="51" fillId="69" borderId="60" xfId="0" applyNumberFormat="1" applyFont="1" applyFill="1" applyBorder="1" applyAlignment="1">
      <alignment horizontal="center" vertical="center"/>
    </xf>
    <xf numFmtId="176" fontId="51" fillId="69" borderId="44" xfId="0" applyNumberFormat="1" applyFont="1" applyFill="1" applyBorder="1" applyAlignment="1">
      <alignment horizontal="center" vertical="center"/>
    </xf>
    <xf numFmtId="0" fontId="26" fillId="0" borderId="168" xfId="0" applyFont="1" applyBorder="1" applyAlignment="1">
      <alignment horizontal="left" vertical="center" indent="1"/>
    </xf>
    <xf numFmtId="0" fontId="26" fillId="0" borderId="188" xfId="0" applyFont="1" applyBorder="1" applyAlignment="1">
      <alignment horizontal="left" vertical="center" indent="1"/>
    </xf>
    <xf numFmtId="0" fontId="26" fillId="0" borderId="165" xfId="0" applyFont="1" applyBorder="1" applyAlignment="1">
      <alignment horizontal="left" vertical="center" indent="1"/>
    </xf>
    <xf numFmtId="0" fontId="26" fillId="0" borderId="190" xfId="0" applyFont="1" applyBorder="1" applyAlignment="1">
      <alignment horizontal="left" vertical="center" indent="1"/>
    </xf>
    <xf numFmtId="0" fontId="38" fillId="44" borderId="171" xfId="0" applyFont="1" applyFill="1" applyBorder="1" applyAlignment="1" applyProtection="1">
      <alignment horizontal="right" vertical="center" indent="1"/>
      <protection locked="0"/>
    </xf>
    <xf numFmtId="176" fontId="32" fillId="0" borderId="37" xfId="0" applyNumberFormat="1" applyFont="1" applyBorder="1" applyAlignment="1">
      <alignment horizontal="center" vertical="center"/>
    </xf>
    <xf numFmtId="176" fontId="32" fillId="0" borderId="60" xfId="0" applyNumberFormat="1" applyFont="1" applyBorder="1" applyAlignment="1">
      <alignment horizontal="center" vertical="center"/>
    </xf>
    <xf numFmtId="176" fontId="32" fillId="0" borderId="182" xfId="0" applyNumberFormat="1" applyFont="1" applyBorder="1" applyAlignment="1">
      <alignment horizontal="center" vertical="center"/>
    </xf>
    <xf numFmtId="0" fontId="96" fillId="0" borderId="12" xfId="0" applyFont="1" applyBorder="1" applyAlignment="1">
      <alignment horizontal="center" vertical="center"/>
    </xf>
    <xf numFmtId="0" fontId="96" fillId="0" borderId="13" xfId="0" applyFont="1" applyBorder="1" applyAlignment="1">
      <alignment horizontal="center" vertical="center"/>
    </xf>
    <xf numFmtId="183" fontId="96" fillId="69" borderId="53" xfId="0" applyNumberFormat="1" applyFont="1" applyFill="1" applyBorder="1" applyAlignment="1">
      <alignment horizontal="center" vertical="center"/>
    </xf>
    <xf numFmtId="183" fontId="96" fillId="69" borderId="56" xfId="0" applyNumberFormat="1" applyFont="1" applyFill="1" applyBorder="1" applyAlignment="1">
      <alignment horizontal="center" vertical="center"/>
    </xf>
    <xf numFmtId="182" fontId="38" fillId="69" borderId="14" xfId="0" applyNumberFormat="1" applyFont="1" applyFill="1" applyBorder="1" applyAlignment="1">
      <alignment horizontal="center" vertical="center"/>
    </xf>
    <xf numFmtId="182" fontId="38" fillId="69" borderId="68" xfId="0" applyNumberFormat="1" applyFont="1" applyFill="1" applyBorder="1" applyAlignment="1">
      <alignment horizontal="center" vertical="center"/>
    </xf>
    <xf numFmtId="182" fontId="38" fillId="69" borderId="18" xfId="0" applyNumberFormat="1" applyFont="1" applyFill="1" applyBorder="1" applyAlignment="1">
      <alignment horizontal="center" vertical="center"/>
    </xf>
    <xf numFmtId="182" fontId="38" fillId="69" borderId="43" xfId="0" applyNumberFormat="1" applyFont="1" applyFill="1" applyBorder="1" applyAlignment="1">
      <alignment horizontal="center" vertical="center"/>
    </xf>
    <xf numFmtId="0" fontId="105" fillId="0" borderId="12" xfId="0" applyFont="1" applyBorder="1" applyAlignment="1">
      <alignment horizontal="center" vertical="center"/>
    </xf>
    <xf numFmtId="0" fontId="105" fillId="0" borderId="13" xfId="0" applyFont="1" applyBorder="1" applyAlignment="1">
      <alignment horizontal="center" vertical="center"/>
    </xf>
    <xf numFmtId="14" fontId="31" fillId="69" borderId="13" xfId="0" applyNumberFormat="1" applyFont="1" applyFill="1" applyBorder="1" applyAlignment="1" applyProtection="1">
      <alignment horizontal="center" vertical="center"/>
      <protection locked="0"/>
    </xf>
    <xf numFmtId="0" fontId="104" fillId="43" borderId="0" xfId="0" applyFont="1" applyFill="1" applyAlignment="1">
      <alignment horizontal="center" wrapText="1"/>
    </xf>
    <xf numFmtId="0" fontId="96" fillId="0" borderId="1" xfId="0" applyFont="1" applyBorder="1" applyAlignment="1">
      <alignment horizontal="center" vertical="center" wrapText="1"/>
    </xf>
    <xf numFmtId="0" fontId="96" fillId="0" borderId="160"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20" xfId="0" applyFont="1" applyBorder="1" applyAlignment="1">
      <alignment horizontal="center" vertical="center" wrapText="1"/>
    </xf>
    <xf numFmtId="0" fontId="96" fillId="0" borderId="161" xfId="0" applyFont="1" applyBorder="1" applyAlignment="1">
      <alignment horizontal="center" vertical="center" wrapText="1"/>
    </xf>
    <xf numFmtId="0" fontId="96" fillId="0" borderId="52" xfId="0" applyFont="1" applyBorder="1" applyAlignment="1">
      <alignment horizontal="center" vertical="center" wrapText="1"/>
    </xf>
    <xf numFmtId="0" fontId="96" fillId="0" borderId="162" xfId="0" applyFont="1" applyBorder="1" applyAlignment="1">
      <alignment horizontal="center" vertical="center"/>
    </xf>
    <xf numFmtId="0" fontId="96" fillId="0" borderId="160" xfId="0" applyFont="1" applyBorder="1" applyAlignment="1">
      <alignment horizontal="center" vertical="center"/>
    </xf>
    <xf numFmtId="0" fontId="96" fillId="0" borderId="18" xfId="0" applyFont="1" applyBorder="1" applyAlignment="1">
      <alignment horizontal="center" vertical="center"/>
    </xf>
    <xf numFmtId="0" fontId="96" fillId="0" borderId="20" xfId="0" applyFont="1" applyBorder="1" applyAlignment="1">
      <alignment horizontal="center" vertical="center"/>
    </xf>
    <xf numFmtId="176" fontId="38" fillId="0" borderId="162" xfId="0" applyNumberFormat="1" applyFont="1" applyBorder="1" applyAlignment="1">
      <alignment horizontal="center" vertical="center"/>
    </xf>
    <xf numFmtId="176" fontId="38" fillId="0" borderId="2" xfId="0" applyNumberFormat="1" applyFont="1" applyBorder="1" applyAlignment="1">
      <alignment horizontal="center" vertical="center"/>
    </xf>
    <xf numFmtId="176" fontId="38" fillId="0" borderId="18" xfId="0" applyNumberFormat="1" applyFont="1" applyBorder="1" applyAlignment="1">
      <alignment horizontal="center" vertical="center"/>
    </xf>
    <xf numFmtId="176" fontId="38" fillId="0" borderId="43" xfId="0" applyNumberFormat="1" applyFont="1" applyBorder="1" applyAlignment="1">
      <alignment horizontal="center" vertical="center"/>
    </xf>
    <xf numFmtId="0" fontId="39" fillId="42" borderId="30" xfId="0" applyFont="1" applyFill="1" applyBorder="1" applyAlignment="1">
      <alignment horizontal="left" vertical="center" wrapText="1"/>
    </xf>
    <xf numFmtId="0" fontId="39" fillId="42" borderId="64" xfId="0" applyFont="1" applyFill="1" applyBorder="1" applyAlignment="1">
      <alignment horizontal="left" vertical="center" wrapText="1"/>
    </xf>
    <xf numFmtId="0" fontId="39" fillId="44" borderId="31" xfId="0" applyFont="1" applyFill="1" applyBorder="1" applyAlignment="1">
      <alignment horizontal="left" vertical="center" wrapText="1"/>
    </xf>
    <xf numFmtId="0" fontId="39" fillId="44" borderId="64" xfId="0" applyFont="1" applyFill="1" applyBorder="1" applyAlignment="1">
      <alignment horizontal="left" vertical="center" wrapText="1"/>
    </xf>
    <xf numFmtId="0" fontId="93" fillId="70" borderId="30" xfId="0" applyFont="1" applyFill="1" applyBorder="1" applyAlignment="1">
      <alignment horizontal="center" vertical="center" wrapText="1"/>
    </xf>
    <xf numFmtId="0" fontId="93" fillId="70" borderId="31" xfId="0" applyFont="1" applyFill="1" applyBorder="1" applyAlignment="1">
      <alignment horizontal="center" vertical="center" wrapText="1"/>
    </xf>
    <xf numFmtId="0" fontId="93" fillId="70" borderId="64" xfId="0" applyFont="1" applyFill="1" applyBorder="1" applyAlignment="1">
      <alignment horizontal="center" vertical="center" wrapText="1"/>
    </xf>
    <xf numFmtId="0" fontId="38" fillId="61" borderId="13" xfId="0" applyFont="1" applyFill="1" applyBorder="1" applyAlignment="1" applyProtection="1">
      <alignment horizontal="center" vertical="center"/>
      <protection locked="0"/>
    </xf>
    <xf numFmtId="0" fontId="95" fillId="16" borderId="13" xfId="0" applyFont="1" applyFill="1" applyBorder="1" applyAlignment="1" applyProtection="1">
      <alignment horizontal="left" vertical="center" wrapText="1"/>
      <protection locked="0"/>
    </xf>
    <xf numFmtId="0" fontId="38" fillId="61" borderId="13" xfId="0" applyFont="1" applyFill="1" applyBorder="1" applyAlignment="1" applyProtection="1">
      <alignment horizontal="center" vertical="center" wrapText="1"/>
      <protection locked="0"/>
    </xf>
    <xf numFmtId="0" fontId="95" fillId="0" borderId="13" xfId="0" applyFont="1" applyBorder="1" applyAlignment="1" applyProtection="1">
      <alignment horizontal="left" vertical="center"/>
      <protection locked="0"/>
    </xf>
    <xf numFmtId="0" fontId="127" fillId="62" borderId="0" xfId="0" applyFont="1" applyFill="1" applyAlignment="1">
      <alignment horizontal="left" vertical="center" wrapText="1"/>
    </xf>
    <xf numFmtId="0" fontId="127" fillId="62" borderId="0" xfId="0" applyFont="1" applyFill="1" applyAlignment="1">
      <alignment horizontal="left" vertical="center"/>
    </xf>
    <xf numFmtId="0" fontId="30" fillId="44" borderId="0" xfId="0" applyFont="1" applyFill="1" applyAlignment="1">
      <alignment horizontal="left" vertical="center" wrapText="1"/>
    </xf>
    <xf numFmtId="0" fontId="39" fillId="69" borderId="30" xfId="0" applyFont="1" applyFill="1" applyBorder="1" applyAlignment="1">
      <alignment horizontal="left" vertical="center" wrapText="1"/>
    </xf>
    <xf numFmtId="0" fontId="39" fillId="69" borderId="31" xfId="0" applyFont="1" applyFill="1" applyBorder="1" applyAlignment="1">
      <alignment horizontal="left" vertical="center" wrapText="1"/>
    </xf>
    <xf numFmtId="0" fontId="38" fillId="43" borderId="13" xfId="0" applyFont="1" applyFill="1" applyBorder="1" applyAlignment="1" applyProtection="1">
      <alignment horizontal="center" vertical="center"/>
      <protection locked="0"/>
    </xf>
    <xf numFmtId="0" fontId="96" fillId="0" borderId="24" xfId="0" applyFont="1" applyBorder="1" applyAlignment="1">
      <alignment horizontal="center" vertical="center"/>
    </xf>
    <xf numFmtId="0" fontId="96" fillId="0" borderId="26" xfId="0" applyFont="1" applyBorder="1" applyAlignment="1">
      <alignment horizontal="center" vertical="center"/>
    </xf>
    <xf numFmtId="183" fontId="96" fillId="69" borderId="57" xfId="0" applyNumberFormat="1" applyFont="1" applyFill="1" applyBorder="1" applyAlignment="1">
      <alignment horizontal="center" vertical="center"/>
    </xf>
    <xf numFmtId="183" fontId="96" fillId="69" borderId="58" xfId="0" applyNumberFormat="1" applyFont="1" applyFill="1" applyBorder="1" applyAlignment="1">
      <alignment horizontal="center" vertical="center"/>
    </xf>
    <xf numFmtId="182" fontId="38" fillId="69" borderId="57" xfId="0" applyNumberFormat="1" applyFont="1" applyFill="1" applyBorder="1" applyAlignment="1">
      <alignment horizontal="center" vertical="center"/>
    </xf>
    <xf numFmtId="182" fontId="38" fillId="69" borderId="44" xfId="0" applyNumberFormat="1" applyFont="1" applyFill="1" applyBorder="1" applyAlignment="1">
      <alignment horizontal="center" vertical="center"/>
    </xf>
    <xf numFmtId="0" fontId="26" fillId="0" borderId="0" xfId="0" applyFont="1" applyAlignment="1">
      <alignment horizontal="center" vertical="center"/>
    </xf>
    <xf numFmtId="0" fontId="39" fillId="45" borderId="179" xfId="0" applyFont="1" applyFill="1" applyBorder="1" applyAlignment="1">
      <alignment horizontal="center" vertical="center" wrapText="1"/>
    </xf>
    <xf numFmtId="0" fontId="39" fillId="45" borderId="180" xfId="0" applyFont="1" applyFill="1" applyBorder="1" applyAlignment="1">
      <alignment horizontal="center" vertical="center" wrapText="1"/>
    </xf>
    <xf numFmtId="0" fontId="32" fillId="46" borderId="37" xfId="0" applyFont="1" applyFill="1" applyBorder="1" applyAlignment="1">
      <alignment horizontal="center" vertical="center" wrapText="1"/>
    </xf>
    <xf numFmtId="0" fontId="32" fillId="46" borderId="60" xfId="0" applyFont="1" applyFill="1" applyBorder="1" applyAlignment="1">
      <alignment horizontal="center" vertical="center" wrapText="1"/>
    </xf>
    <xf numFmtId="0" fontId="125" fillId="46" borderId="57" xfId="0" applyFont="1" applyFill="1" applyBorder="1" applyAlignment="1">
      <alignment horizontal="center" vertical="center" wrapText="1"/>
    </xf>
    <xf numFmtId="0" fontId="125" fillId="46" borderId="60" xfId="0" applyFont="1" applyFill="1" applyBorder="1" applyAlignment="1">
      <alignment horizontal="center" vertical="center" wrapText="1"/>
    </xf>
    <xf numFmtId="0" fontId="32" fillId="68" borderId="1" xfId="0" applyFont="1" applyFill="1" applyBorder="1" applyAlignment="1">
      <alignment horizontal="center" vertical="center" wrapText="1"/>
    </xf>
    <xf numFmtId="0" fontId="32" fillId="68" borderId="32" xfId="0" applyFont="1" applyFill="1" applyBorder="1" applyAlignment="1">
      <alignment horizontal="center" vertical="center" wrapText="1"/>
    </xf>
    <xf numFmtId="0" fontId="113" fillId="68" borderId="162" xfId="0" applyFont="1" applyFill="1" applyBorder="1" applyAlignment="1">
      <alignment horizontal="center" vertical="center" wrapText="1"/>
    </xf>
    <xf numFmtId="0" fontId="113" fillId="68" borderId="32" xfId="0" applyFont="1" applyFill="1" applyBorder="1" applyAlignment="1">
      <alignment horizontal="center" vertical="center" wrapText="1"/>
    </xf>
    <xf numFmtId="49" fontId="26" fillId="38" borderId="0" xfId="0" applyNumberFormat="1" applyFont="1" applyFill="1" applyAlignment="1" applyProtection="1">
      <alignment horizontal="left" vertical="center" indent="1"/>
      <protection locked="0"/>
    </xf>
    <xf numFmtId="49" fontId="26" fillId="38" borderId="4" xfId="0" applyNumberFormat="1" applyFont="1" applyFill="1" applyBorder="1" applyAlignment="1" applyProtection="1">
      <alignment horizontal="left" vertical="center" indent="1"/>
      <protection locked="0"/>
    </xf>
    <xf numFmtId="187" fontId="32" fillId="68" borderId="162" xfId="0" applyNumberFormat="1" applyFont="1" applyFill="1" applyBorder="1" applyAlignment="1">
      <alignment horizontal="center" vertical="center" wrapText="1"/>
    </xf>
    <xf numFmtId="187" fontId="32" fillId="68" borderId="2" xfId="0" applyNumberFormat="1" applyFont="1" applyFill="1" applyBorder="1" applyAlignment="1">
      <alignment horizontal="center" vertical="center" wrapText="1"/>
    </xf>
    <xf numFmtId="0" fontId="104" fillId="29" borderId="0" xfId="0" applyFont="1" applyFill="1" applyAlignment="1">
      <alignment horizontal="center" vertical="center"/>
    </xf>
    <xf numFmtId="0" fontId="26" fillId="66" borderId="170" xfId="0" applyFont="1" applyFill="1" applyBorder="1" applyAlignment="1">
      <alignment horizontal="left" vertical="center" indent="1"/>
    </xf>
    <xf numFmtId="0" fontId="26" fillId="66" borderId="189" xfId="0" applyFont="1" applyFill="1" applyBorder="1" applyAlignment="1">
      <alignment horizontal="left" vertical="center" indent="1"/>
    </xf>
    <xf numFmtId="0" fontId="26" fillId="66" borderId="166" xfId="0" applyFont="1" applyFill="1" applyBorder="1" applyAlignment="1" applyProtection="1">
      <alignment horizontal="left" vertical="center" indent="1"/>
      <protection locked="0"/>
    </xf>
    <xf numFmtId="0" fontId="26" fillId="66" borderId="191" xfId="0" applyFont="1" applyFill="1" applyBorder="1" applyAlignment="1" applyProtection="1">
      <alignment horizontal="left" vertical="center" indent="1"/>
      <protection locked="0"/>
    </xf>
    <xf numFmtId="0" fontId="32" fillId="68" borderId="37" xfId="0" applyFont="1" applyFill="1" applyBorder="1" applyAlignment="1">
      <alignment horizontal="center" vertical="center"/>
    </xf>
    <xf numFmtId="0" fontId="32" fillId="68" borderId="60" xfId="0" applyFont="1" applyFill="1" applyBorder="1" applyAlignment="1">
      <alignment horizontal="center" vertical="center"/>
    </xf>
    <xf numFmtId="0" fontId="32" fillId="68" borderId="182" xfId="0" applyFont="1" applyFill="1" applyBorder="1" applyAlignment="1">
      <alignment horizontal="center" vertical="center"/>
    </xf>
    <xf numFmtId="176" fontId="65" fillId="44" borderId="30" xfId="0" applyNumberFormat="1" applyFont="1" applyFill="1" applyBorder="1" applyAlignment="1">
      <alignment horizontal="left" vertical="center" indent="1"/>
    </xf>
    <xf numFmtId="176" fontId="65" fillId="44" borderId="31" xfId="0" applyNumberFormat="1" applyFont="1" applyFill="1" applyBorder="1" applyAlignment="1">
      <alignment horizontal="left" vertical="center" indent="1"/>
    </xf>
    <xf numFmtId="0" fontId="96" fillId="41" borderId="12" xfId="0" applyFont="1" applyFill="1" applyBorder="1" applyAlignment="1">
      <alignment horizontal="center" vertical="center"/>
    </xf>
    <xf numFmtId="0" fontId="96" fillId="41" borderId="13" xfId="0" applyFont="1" applyFill="1" applyBorder="1" applyAlignment="1">
      <alignment horizontal="center" vertical="center"/>
    </xf>
    <xf numFmtId="0" fontId="65" fillId="65" borderId="30" xfId="0" applyFont="1" applyFill="1" applyBorder="1" applyAlignment="1">
      <alignment horizontal="center" vertical="center"/>
    </xf>
    <xf numFmtId="0" fontId="65" fillId="65" borderId="31" xfId="0" applyFont="1" applyFill="1" applyBorder="1" applyAlignment="1">
      <alignment horizontal="center" vertical="center"/>
    </xf>
    <xf numFmtId="0" fontId="37" fillId="38" borderId="10" xfId="0" applyFont="1" applyFill="1" applyBorder="1" applyAlignment="1">
      <alignment horizontal="center" vertical="center"/>
    </xf>
    <xf numFmtId="0" fontId="37" fillId="38" borderId="209" xfId="0" applyFont="1" applyFill="1" applyBorder="1" applyAlignment="1">
      <alignment horizontal="center" vertical="center"/>
    </xf>
    <xf numFmtId="0" fontId="52" fillId="41" borderId="34" xfId="0" applyFont="1" applyFill="1" applyBorder="1" applyAlignment="1">
      <alignment horizontal="left" vertical="center" indent="1"/>
    </xf>
    <xf numFmtId="0" fontId="52" fillId="41" borderId="54" xfId="0" applyFont="1" applyFill="1" applyBorder="1" applyAlignment="1">
      <alignment horizontal="left" vertical="center" indent="1"/>
    </xf>
    <xf numFmtId="0" fontId="38" fillId="39" borderId="32" xfId="0" applyFont="1" applyFill="1" applyBorder="1" applyAlignment="1" applyProtection="1">
      <alignment horizontal="left" vertical="center" wrapText="1" indent="1"/>
      <protection locked="0"/>
    </xf>
    <xf numFmtId="0" fontId="38" fillId="39" borderId="2" xfId="0" applyFont="1" applyFill="1" applyBorder="1" applyAlignment="1" applyProtection="1">
      <alignment horizontal="left" vertical="center" wrapText="1" indent="1"/>
      <protection locked="0"/>
    </xf>
    <xf numFmtId="0" fontId="38" fillId="39" borderId="0" xfId="0" applyFont="1" applyFill="1" applyAlignment="1" applyProtection="1">
      <alignment horizontal="left" vertical="center" wrapText="1" indent="1"/>
      <protection locked="0"/>
    </xf>
    <xf numFmtId="0" fontId="38" fillId="39" borderId="4" xfId="0" applyFont="1" applyFill="1" applyBorder="1" applyAlignment="1" applyProtection="1">
      <alignment horizontal="left" vertical="center" wrapText="1" indent="1"/>
      <protection locked="0"/>
    </xf>
    <xf numFmtId="187" fontId="26" fillId="46" borderId="57" xfId="0" applyNumberFormat="1" applyFont="1" applyFill="1" applyBorder="1" applyAlignment="1" applyProtection="1">
      <alignment horizontal="center" vertical="center" wrapText="1"/>
      <protection locked="0"/>
    </xf>
    <xf numFmtId="187" fontId="26" fillId="46" borderId="44" xfId="0" applyNumberFormat="1" applyFont="1" applyFill="1" applyBorder="1" applyAlignment="1" applyProtection="1">
      <alignment horizontal="center" vertical="center" wrapText="1"/>
      <protection locked="0"/>
    </xf>
    <xf numFmtId="0" fontId="38" fillId="46" borderId="31" xfId="0" applyFont="1" applyFill="1" applyBorder="1" applyAlignment="1">
      <alignment horizontal="right" vertical="top"/>
    </xf>
    <xf numFmtId="182" fontId="38" fillId="41" borderId="14" xfId="0" applyNumberFormat="1" applyFont="1" applyFill="1" applyBorder="1" applyAlignment="1">
      <alignment horizontal="center" vertical="center"/>
    </xf>
    <xf numFmtId="182" fontId="38" fillId="41" borderId="68" xfId="0" applyNumberFormat="1" applyFont="1" applyFill="1" applyBorder="1" applyAlignment="1">
      <alignment horizontal="center" vertical="center"/>
    </xf>
    <xf numFmtId="182" fontId="38" fillId="41" borderId="18" xfId="0" applyNumberFormat="1" applyFont="1" applyFill="1" applyBorder="1" applyAlignment="1">
      <alignment horizontal="center" vertical="center"/>
    </xf>
    <xf numFmtId="182" fontId="38" fillId="41" borderId="43" xfId="0" applyNumberFormat="1" applyFont="1" applyFill="1" applyBorder="1" applyAlignment="1">
      <alignment horizontal="center" vertical="center"/>
    </xf>
    <xf numFmtId="0" fontId="38" fillId="67" borderId="171" xfId="0" applyFont="1" applyFill="1" applyBorder="1" applyAlignment="1" applyProtection="1">
      <alignment horizontal="right" vertical="center" indent="1"/>
      <protection locked="0"/>
    </xf>
    <xf numFmtId="0" fontId="38" fillId="66" borderId="172" xfId="0" applyFont="1" applyFill="1" applyBorder="1" applyAlignment="1" applyProtection="1">
      <alignment horizontal="right" vertical="center" indent="1"/>
      <protection locked="0"/>
    </xf>
    <xf numFmtId="0" fontId="28" fillId="40" borderId="34" xfId="0" applyFont="1" applyFill="1" applyBorder="1" applyAlignment="1">
      <alignment horizontal="center" vertical="center"/>
    </xf>
    <xf numFmtId="0" fontId="28" fillId="40" borderId="54" xfId="0" applyFont="1" applyFill="1" applyBorder="1" applyAlignment="1">
      <alignment horizontal="center" vertical="center"/>
    </xf>
    <xf numFmtId="0" fontId="26" fillId="40" borderId="56" xfId="0" applyFont="1" applyFill="1" applyBorder="1" applyAlignment="1" applyProtection="1">
      <alignment horizontal="left" vertical="center" indent="1"/>
      <protection locked="0"/>
    </xf>
    <xf numFmtId="0" fontId="26" fillId="40" borderId="13" xfId="0" applyFont="1" applyFill="1" applyBorder="1" applyAlignment="1" applyProtection="1">
      <alignment horizontal="left" vertical="center" indent="1"/>
      <protection locked="0"/>
    </xf>
    <xf numFmtId="0" fontId="26" fillId="40" borderId="53" xfId="0" applyFont="1" applyFill="1" applyBorder="1" applyAlignment="1" applyProtection="1">
      <alignment horizontal="left" vertical="center" indent="1"/>
      <protection locked="0"/>
    </xf>
    <xf numFmtId="0" fontId="26" fillId="40" borderId="21" xfId="0" applyFont="1" applyFill="1" applyBorder="1" applyAlignment="1" applyProtection="1">
      <alignment horizontal="left" vertical="center" indent="1"/>
      <protection locked="0"/>
    </xf>
    <xf numFmtId="0" fontId="32" fillId="43" borderId="65" xfId="0" applyFont="1" applyFill="1" applyBorder="1" applyAlignment="1">
      <alignment horizontal="center" vertical="center"/>
    </xf>
    <xf numFmtId="0" fontId="32" fillId="43" borderId="66" xfId="0" applyFont="1" applyFill="1" applyBorder="1" applyAlignment="1">
      <alignment horizontal="center" vertical="center"/>
    </xf>
    <xf numFmtId="0" fontId="32" fillId="43" borderId="194" xfId="0" applyFont="1" applyFill="1" applyBorder="1" applyAlignment="1">
      <alignment horizontal="center" vertical="center"/>
    </xf>
    <xf numFmtId="176" fontId="32" fillId="45" borderId="175" xfId="0" applyNumberFormat="1" applyFont="1" applyFill="1" applyBorder="1" applyAlignment="1">
      <alignment horizontal="center" vertical="center"/>
    </xf>
    <xf numFmtId="176" fontId="32" fillId="45" borderId="176" xfId="0" applyNumberFormat="1" applyFont="1" applyFill="1" applyBorder="1" applyAlignment="1">
      <alignment horizontal="center" vertical="center"/>
    </xf>
    <xf numFmtId="176" fontId="32" fillId="45" borderId="177" xfId="0" applyNumberFormat="1" applyFont="1" applyFill="1" applyBorder="1" applyAlignment="1">
      <alignment horizontal="center" vertical="center"/>
    </xf>
    <xf numFmtId="0" fontId="28" fillId="38" borderId="37" xfId="0" applyFont="1" applyFill="1" applyBorder="1" applyAlignment="1">
      <alignment horizontal="center" vertical="center"/>
    </xf>
    <xf numFmtId="0" fontId="28" fillId="38" borderId="60" xfId="0" applyFont="1" applyFill="1" applyBorder="1" applyAlignment="1">
      <alignment horizontal="center" vertical="center"/>
    </xf>
    <xf numFmtId="0" fontId="26" fillId="38" borderId="58" xfId="0" applyFont="1" applyFill="1" applyBorder="1" applyAlignment="1" applyProtection="1">
      <alignment horizontal="left" vertical="center" indent="1"/>
      <protection locked="0"/>
    </xf>
    <xf numFmtId="0" fontId="26" fillId="38" borderId="26" xfId="0" applyFont="1" applyFill="1" applyBorder="1" applyAlignment="1" applyProtection="1">
      <alignment horizontal="left" vertical="center" indent="1"/>
      <protection locked="0"/>
    </xf>
    <xf numFmtId="0" fontId="26" fillId="38" borderId="57" xfId="0" applyFont="1" applyFill="1" applyBorder="1" applyAlignment="1" applyProtection="1">
      <alignment horizontal="left" vertical="center" indent="1"/>
      <protection locked="0"/>
    </xf>
    <xf numFmtId="0" fontId="26" fillId="38" borderId="25" xfId="0" applyFont="1" applyFill="1" applyBorder="1" applyAlignment="1" applyProtection="1">
      <alignment horizontal="left" vertical="center" indent="1"/>
      <protection locked="0"/>
    </xf>
    <xf numFmtId="0" fontId="37" fillId="16" borderId="70" xfId="0" applyFont="1" applyFill="1" applyBorder="1" applyAlignment="1">
      <alignment horizontal="left" vertical="center" indent="1"/>
    </xf>
    <xf numFmtId="0" fontId="37" fillId="16" borderId="164" xfId="0" applyFont="1" applyFill="1" applyBorder="1" applyAlignment="1">
      <alignment horizontal="left" vertical="center" indent="1"/>
    </xf>
    <xf numFmtId="176" fontId="62" fillId="16" borderId="70" xfId="0" applyNumberFormat="1" applyFont="1" applyFill="1" applyBorder="1" applyAlignment="1">
      <alignment horizontal="left" vertical="center" indent="1"/>
    </xf>
    <xf numFmtId="176" fontId="62" fillId="16" borderId="164" xfId="0" applyNumberFormat="1" applyFont="1" applyFill="1" applyBorder="1" applyAlignment="1">
      <alignment horizontal="left" vertical="center" indent="1"/>
    </xf>
    <xf numFmtId="176" fontId="26" fillId="16" borderId="42" xfId="0" applyNumberFormat="1" applyFont="1" applyFill="1" applyBorder="1" applyAlignment="1">
      <alignment horizontal="center" vertical="center"/>
    </xf>
    <xf numFmtId="176" fontId="26" fillId="16" borderId="19" xfId="0" applyNumberFormat="1" applyFont="1" applyFill="1" applyBorder="1" applyAlignment="1">
      <alignment horizontal="center" vertical="center"/>
    </xf>
    <xf numFmtId="176" fontId="32" fillId="43" borderId="65" xfId="0" applyNumberFormat="1" applyFont="1" applyFill="1" applyBorder="1" applyAlignment="1">
      <alignment horizontal="center" vertical="center"/>
    </xf>
    <xf numFmtId="176" fontId="32" fillId="43" borderId="66" xfId="0" applyNumberFormat="1" applyFont="1" applyFill="1" applyBorder="1" applyAlignment="1">
      <alignment horizontal="center" vertical="center"/>
    </xf>
    <xf numFmtId="176" fontId="32" fillId="43" borderId="194" xfId="0" applyNumberFormat="1" applyFont="1" applyFill="1" applyBorder="1" applyAlignment="1">
      <alignment horizontal="center" vertical="center"/>
    </xf>
    <xf numFmtId="176" fontId="32" fillId="16" borderId="3" xfId="0" applyNumberFormat="1" applyFont="1" applyFill="1" applyBorder="1" applyAlignment="1">
      <alignment horizontal="center" vertical="center"/>
    </xf>
    <xf numFmtId="176" fontId="32" fillId="16" borderId="0" xfId="0" applyNumberFormat="1" applyFont="1" applyFill="1" applyAlignment="1">
      <alignment horizontal="center" vertical="center"/>
    </xf>
    <xf numFmtId="0" fontId="32" fillId="41" borderId="34" xfId="0" applyFont="1" applyFill="1" applyBorder="1" applyAlignment="1">
      <alignment horizontal="left" vertical="center" indent="1"/>
    </xf>
    <xf numFmtId="0" fontId="32" fillId="41" borderId="54" xfId="0" applyFont="1" applyFill="1" applyBorder="1" applyAlignment="1">
      <alignment horizontal="left" vertical="center" indent="1"/>
    </xf>
    <xf numFmtId="176" fontId="115" fillId="41" borderId="34" xfId="0" applyNumberFormat="1" applyFont="1" applyFill="1" applyBorder="1" applyAlignment="1">
      <alignment horizontal="left" vertical="center" indent="1"/>
    </xf>
    <xf numFmtId="176" fontId="115" fillId="41" borderId="54" xfId="0" applyNumberFormat="1" applyFont="1" applyFill="1" applyBorder="1" applyAlignment="1">
      <alignment horizontal="left" vertical="center" indent="1"/>
    </xf>
    <xf numFmtId="176" fontId="51" fillId="48" borderId="37" xfId="0" applyNumberFormat="1" applyFont="1" applyFill="1" applyBorder="1" applyAlignment="1">
      <alignment horizontal="center" vertical="center"/>
    </xf>
    <xf numFmtId="176" fontId="51" fillId="48" borderId="60" xfId="0" applyNumberFormat="1" applyFont="1" applyFill="1" applyBorder="1" applyAlignment="1">
      <alignment horizontal="center" vertical="center"/>
    </xf>
    <xf numFmtId="176" fontId="51" fillId="48" borderId="44" xfId="0" applyNumberFormat="1" applyFont="1" applyFill="1" applyBorder="1" applyAlignment="1">
      <alignment horizontal="center" vertical="center"/>
    </xf>
    <xf numFmtId="0" fontId="26" fillId="67" borderId="168" xfId="0" applyFont="1" applyFill="1" applyBorder="1" applyAlignment="1">
      <alignment horizontal="left" vertical="center" indent="1"/>
    </xf>
    <xf numFmtId="0" fontId="26" fillId="67" borderId="188" xfId="0" applyFont="1" applyFill="1" applyBorder="1" applyAlignment="1">
      <alignment horizontal="left" vertical="center" indent="1"/>
    </xf>
    <xf numFmtId="0" fontId="26" fillId="67" borderId="165" xfId="0" applyFont="1" applyFill="1" applyBorder="1" applyAlignment="1">
      <alignment horizontal="left" vertical="center" indent="1"/>
    </xf>
    <xf numFmtId="0" fontId="26" fillId="67" borderId="190" xfId="0" applyFont="1" applyFill="1" applyBorder="1" applyAlignment="1">
      <alignment horizontal="left" vertical="center" indent="1"/>
    </xf>
    <xf numFmtId="0" fontId="32" fillId="16" borderId="34" xfId="0" applyFont="1" applyFill="1" applyBorder="1" applyAlignment="1">
      <alignment horizontal="left" vertical="center" indent="1"/>
    </xf>
    <xf numFmtId="0" fontId="32" fillId="16" borderId="54" xfId="0" applyFont="1" applyFill="1" applyBorder="1" applyAlignment="1">
      <alignment horizontal="left" vertical="center" indent="1"/>
    </xf>
    <xf numFmtId="176" fontId="32" fillId="68" borderId="37" xfId="0" applyNumberFormat="1" applyFont="1" applyFill="1" applyBorder="1" applyAlignment="1">
      <alignment horizontal="center" vertical="center"/>
    </xf>
    <xf numFmtId="176" fontId="32" fillId="68" borderId="60" xfId="0" applyNumberFormat="1" applyFont="1" applyFill="1" applyBorder="1" applyAlignment="1">
      <alignment horizontal="center" vertical="center"/>
    </xf>
    <xf numFmtId="176" fontId="32" fillId="68" borderId="182" xfId="0" applyNumberFormat="1" applyFont="1" applyFill="1" applyBorder="1" applyAlignment="1">
      <alignment horizontal="center" vertical="center"/>
    </xf>
    <xf numFmtId="0" fontId="31" fillId="46" borderId="214" xfId="0" applyFont="1" applyFill="1" applyBorder="1" applyAlignment="1">
      <alignment horizontal="center" vertical="center"/>
    </xf>
    <xf numFmtId="0" fontId="31" fillId="46" borderId="215" xfId="0" applyFont="1" applyFill="1" applyBorder="1" applyAlignment="1">
      <alignment horizontal="center" vertical="center"/>
    </xf>
    <xf numFmtId="0" fontId="32" fillId="16" borderId="61" xfId="0" applyFont="1" applyFill="1" applyBorder="1" applyAlignment="1">
      <alignment horizontal="left" vertical="center" indent="1"/>
    </xf>
    <xf numFmtId="0" fontId="32" fillId="16" borderId="15" xfId="0" applyFont="1" applyFill="1" applyBorder="1" applyAlignment="1">
      <alignment horizontal="left" vertical="center" indent="1"/>
    </xf>
    <xf numFmtId="0" fontId="28" fillId="40" borderId="33" xfId="0" applyFont="1" applyFill="1" applyBorder="1" applyAlignment="1">
      <alignment horizontal="center" vertical="center"/>
    </xf>
    <xf numFmtId="0" fontId="28" fillId="40" borderId="8" xfId="0" applyFont="1" applyFill="1" applyBorder="1" applyAlignment="1">
      <alignment horizontal="center" vertical="center"/>
    </xf>
    <xf numFmtId="0" fontId="26" fillId="40" borderId="9" xfId="0" applyFont="1" applyFill="1" applyBorder="1" applyAlignment="1" applyProtection="1">
      <alignment horizontal="left" vertical="center" indent="1"/>
      <protection locked="0"/>
    </xf>
    <xf numFmtId="0" fontId="26" fillId="40" borderId="6" xfId="0" applyFont="1" applyFill="1" applyBorder="1" applyAlignment="1" applyProtection="1">
      <alignment horizontal="left" vertical="center" indent="1"/>
      <protection locked="0"/>
    </xf>
    <xf numFmtId="0" fontId="26" fillId="40" borderId="7" xfId="0" applyFont="1" applyFill="1" applyBorder="1" applyAlignment="1" applyProtection="1">
      <alignment horizontal="left" vertical="center" indent="1"/>
      <protection locked="0"/>
    </xf>
    <xf numFmtId="0" fontId="26" fillId="40" borderId="17" xfId="0" applyFont="1" applyFill="1" applyBorder="1" applyAlignment="1" applyProtection="1">
      <alignment horizontal="left" vertical="center" indent="1"/>
      <protection locked="0"/>
    </xf>
    <xf numFmtId="0" fontId="40" fillId="44" borderId="0" xfId="0" applyFont="1" applyFill="1" applyAlignment="1">
      <alignment horizontal="center" vertical="center"/>
    </xf>
    <xf numFmtId="176" fontId="32" fillId="68" borderId="30" xfId="0" applyNumberFormat="1" applyFont="1" applyFill="1" applyBorder="1" applyAlignment="1">
      <alignment horizontal="center" vertical="center"/>
    </xf>
    <xf numFmtId="176" fontId="32" fillId="68" borderId="31" xfId="0" applyNumberFormat="1" applyFont="1" applyFill="1" applyBorder="1" applyAlignment="1">
      <alignment horizontal="center" vertical="center"/>
    </xf>
    <xf numFmtId="176" fontId="32" fillId="68" borderId="193" xfId="0" applyNumberFormat="1" applyFont="1" applyFill="1" applyBorder="1" applyAlignment="1">
      <alignment horizontal="center" vertical="center"/>
    </xf>
    <xf numFmtId="0" fontId="37" fillId="10" borderId="0" xfId="0" applyFont="1" applyFill="1" applyAlignment="1">
      <alignment horizontal="left" vertical="center" indent="1"/>
    </xf>
    <xf numFmtId="0" fontId="28" fillId="38" borderId="34" xfId="0" applyFont="1" applyFill="1" applyBorder="1" applyAlignment="1">
      <alignment horizontal="center" vertical="center"/>
    </xf>
    <xf numFmtId="0" fontId="28" fillId="38" borderId="54" xfId="0" applyFont="1" applyFill="1" applyBorder="1" applyAlignment="1">
      <alignment horizontal="center" vertical="center"/>
    </xf>
    <xf numFmtId="0" fontId="26" fillId="38" borderId="56" xfId="0" applyFont="1" applyFill="1" applyBorder="1" applyAlignment="1" applyProtection="1">
      <alignment horizontal="left" vertical="center" indent="1"/>
      <protection locked="0"/>
    </xf>
    <xf numFmtId="0" fontId="26" fillId="38" borderId="13" xfId="0" applyFont="1" applyFill="1" applyBorder="1" applyAlignment="1" applyProtection="1">
      <alignment horizontal="left" vertical="center" indent="1"/>
      <protection locked="0"/>
    </xf>
    <xf numFmtId="0" fontId="26" fillId="38" borderId="53" xfId="0" applyFont="1" applyFill="1" applyBorder="1" applyAlignment="1" applyProtection="1">
      <alignment horizontal="left" vertical="center" indent="1"/>
      <protection locked="0"/>
    </xf>
    <xf numFmtId="0" fontId="26" fillId="38" borderId="21" xfId="0" applyFont="1" applyFill="1" applyBorder="1" applyAlignment="1" applyProtection="1">
      <alignment horizontal="left" vertical="center" indent="1"/>
      <protection locked="0"/>
    </xf>
    <xf numFmtId="0" fontId="27" fillId="18" borderId="175" xfId="0" applyFont="1" applyFill="1" applyBorder="1" applyAlignment="1">
      <alignment horizontal="center" vertical="center"/>
    </xf>
    <xf numFmtId="0" fontId="27" fillId="18" borderId="176" xfId="0" applyFont="1" applyFill="1" applyBorder="1" applyAlignment="1">
      <alignment horizontal="center" vertical="center"/>
    </xf>
    <xf numFmtId="0" fontId="27" fillId="18" borderId="177" xfId="0" applyFont="1" applyFill="1" applyBorder="1" applyAlignment="1">
      <alignment horizontal="center" vertical="center"/>
    </xf>
    <xf numFmtId="0" fontId="27" fillId="29" borderId="175" xfId="0" applyFont="1" applyFill="1" applyBorder="1" applyAlignment="1">
      <alignment horizontal="center" vertical="center"/>
    </xf>
    <xf numFmtId="0" fontId="27" fillId="29" borderId="176" xfId="0" applyFont="1" applyFill="1" applyBorder="1" applyAlignment="1">
      <alignment horizontal="center" vertical="center"/>
    </xf>
    <xf numFmtId="0" fontId="27" fillId="29" borderId="177" xfId="0" applyFont="1" applyFill="1" applyBorder="1" applyAlignment="1">
      <alignment horizontal="center" vertical="center"/>
    </xf>
    <xf numFmtId="176" fontId="126" fillId="41" borderId="34" xfId="0" applyNumberFormat="1" applyFont="1" applyFill="1" applyBorder="1" applyAlignment="1">
      <alignment horizontal="left" vertical="center" indent="1"/>
    </xf>
    <xf numFmtId="176" fontId="126" fillId="41" borderId="54" xfId="0" applyNumberFormat="1" applyFont="1" applyFill="1" applyBorder="1" applyAlignment="1">
      <alignment horizontal="left" vertical="center" indent="1"/>
    </xf>
    <xf numFmtId="0" fontId="95" fillId="16" borderId="210" xfId="0" applyFont="1" applyFill="1" applyBorder="1" applyAlignment="1" applyProtection="1">
      <alignment horizontal="center" vertical="center" wrapText="1"/>
      <protection locked="0"/>
    </xf>
    <xf numFmtId="0" fontId="95" fillId="16" borderId="211" xfId="0" applyFont="1" applyFill="1" applyBorder="1" applyAlignment="1" applyProtection="1">
      <alignment horizontal="center" vertical="center" wrapText="1"/>
      <protection locked="0"/>
    </xf>
    <xf numFmtId="0" fontId="95" fillId="16" borderId="212" xfId="0" applyFont="1" applyFill="1" applyBorder="1" applyAlignment="1" applyProtection="1">
      <alignment horizontal="center" vertical="center" wrapText="1"/>
      <protection locked="0"/>
    </xf>
    <xf numFmtId="0" fontId="95" fillId="16" borderId="10" xfId="0" applyFont="1" applyFill="1" applyBorder="1" applyAlignment="1" applyProtection="1">
      <alignment horizontal="center" vertical="center" wrapText="1"/>
      <protection locked="0"/>
    </xf>
    <xf numFmtId="0" fontId="95" fillId="16" borderId="28" xfId="0" applyFont="1" applyFill="1" applyBorder="1" applyAlignment="1" applyProtection="1">
      <alignment horizontal="center" vertical="center" wrapText="1"/>
      <protection locked="0"/>
    </xf>
    <xf numFmtId="0" fontId="95" fillId="16" borderId="11" xfId="0" applyFont="1" applyFill="1" applyBorder="1" applyAlignment="1" applyProtection="1">
      <alignment horizontal="center" vertical="center" wrapText="1"/>
      <protection locked="0"/>
    </xf>
    <xf numFmtId="0" fontId="31" fillId="16" borderId="3" xfId="0" applyFont="1" applyFill="1" applyBorder="1" applyAlignment="1" applyProtection="1">
      <alignment horizontal="center" vertical="center" wrapText="1"/>
      <protection locked="0"/>
    </xf>
    <xf numFmtId="0" fontId="31" fillId="16" borderId="0" xfId="0" applyFont="1" applyFill="1" applyAlignment="1" applyProtection="1">
      <alignment horizontal="center" vertical="center" wrapText="1"/>
      <protection locked="0"/>
    </xf>
    <xf numFmtId="0" fontId="31" fillId="16" borderId="4" xfId="0" applyFont="1" applyFill="1" applyBorder="1" applyAlignment="1" applyProtection="1">
      <alignment horizontal="center" vertical="center" wrapText="1"/>
      <protection locked="0"/>
    </xf>
    <xf numFmtId="0" fontId="31" fillId="16" borderId="10" xfId="0" applyFont="1" applyFill="1" applyBorder="1" applyAlignment="1" applyProtection="1">
      <alignment horizontal="center" vertical="center" wrapText="1"/>
      <protection locked="0"/>
    </xf>
    <xf numFmtId="0" fontId="31" fillId="16" borderId="28" xfId="0" applyFont="1" applyFill="1" applyBorder="1" applyAlignment="1" applyProtection="1">
      <alignment horizontal="center" vertical="center" wrapText="1"/>
      <protection locked="0"/>
    </xf>
    <xf numFmtId="0" fontId="31" fillId="16" borderId="11" xfId="0" applyFont="1" applyFill="1" applyBorder="1" applyAlignment="1" applyProtection="1">
      <alignment horizontal="center" vertical="center" wrapText="1"/>
      <protection locked="0"/>
    </xf>
    <xf numFmtId="0" fontId="32" fillId="16" borderId="37" xfId="0" applyFont="1" applyFill="1" applyBorder="1" applyAlignment="1">
      <alignment horizontal="left" vertical="center" indent="1"/>
    </xf>
    <xf numFmtId="0" fontId="32" fillId="16" borderId="60" xfId="0" applyFont="1" applyFill="1" applyBorder="1" applyAlignment="1">
      <alignment horizontal="left" vertical="center" indent="1"/>
    </xf>
    <xf numFmtId="176" fontId="32" fillId="16" borderId="34" xfId="0" applyNumberFormat="1" applyFont="1" applyFill="1" applyBorder="1" applyAlignment="1">
      <alignment horizontal="left" vertical="center" indent="1"/>
    </xf>
    <xf numFmtId="176" fontId="32" fillId="16" borderId="54" xfId="0" applyNumberFormat="1" applyFont="1" applyFill="1" applyBorder="1" applyAlignment="1">
      <alignment horizontal="left" vertical="center" indent="1"/>
    </xf>
    <xf numFmtId="0" fontId="32" fillId="68" borderId="30" xfId="0" applyFont="1" applyFill="1" applyBorder="1" applyAlignment="1">
      <alignment horizontal="center" vertical="center"/>
    </xf>
    <xf numFmtId="0" fontId="32" fillId="68" borderId="31" xfId="0" applyFont="1" applyFill="1" applyBorder="1" applyAlignment="1">
      <alignment horizontal="center" vertical="center"/>
    </xf>
    <xf numFmtId="0" fontId="59" fillId="41" borderId="34" xfId="0" applyFont="1" applyFill="1" applyBorder="1" applyAlignment="1">
      <alignment horizontal="left" vertical="center" indent="1"/>
    </xf>
    <xf numFmtId="0" fontId="59" fillId="41" borderId="54" xfId="0" applyFont="1" applyFill="1" applyBorder="1" applyAlignment="1">
      <alignment horizontal="left" vertical="center" indent="1"/>
    </xf>
    <xf numFmtId="176" fontId="32" fillId="41" borderId="34" xfId="0" applyNumberFormat="1" applyFont="1" applyFill="1" applyBorder="1" applyAlignment="1">
      <alignment horizontal="left" vertical="center" indent="1"/>
    </xf>
    <xf numFmtId="176" fontId="32" fillId="41" borderId="54" xfId="0" applyNumberFormat="1" applyFont="1" applyFill="1" applyBorder="1" applyAlignment="1">
      <alignment horizontal="left" vertical="center" indent="1"/>
    </xf>
    <xf numFmtId="0" fontId="37" fillId="16" borderId="34" xfId="0" applyFont="1" applyFill="1" applyBorder="1" applyAlignment="1">
      <alignment horizontal="left" vertical="center" indent="1"/>
    </xf>
    <xf numFmtId="0" fontId="37" fillId="16" borderId="54" xfId="0" applyFont="1" applyFill="1" applyBorder="1" applyAlignment="1">
      <alignment horizontal="left" vertical="center" indent="1"/>
    </xf>
    <xf numFmtId="176" fontId="126" fillId="16" borderId="34" xfId="0" applyNumberFormat="1" applyFont="1" applyFill="1" applyBorder="1" applyAlignment="1">
      <alignment horizontal="left" vertical="center" indent="1"/>
    </xf>
    <xf numFmtId="176" fontId="126" fillId="16" borderId="54" xfId="0" applyNumberFormat="1" applyFont="1" applyFill="1" applyBorder="1" applyAlignment="1">
      <alignment horizontal="left" vertical="center" indent="1"/>
    </xf>
    <xf numFmtId="0" fontId="37" fillId="41" borderId="34" xfId="0" applyFont="1" applyFill="1" applyBorder="1" applyAlignment="1">
      <alignment horizontal="left" vertical="center" indent="1"/>
    </xf>
    <xf numFmtId="0" fontId="37" fillId="41" borderId="54" xfId="0" applyFont="1" applyFill="1" applyBorder="1" applyAlignment="1">
      <alignment horizontal="left" vertical="center" indent="1"/>
    </xf>
    <xf numFmtId="0" fontId="39" fillId="41" borderId="34" xfId="0" applyFont="1" applyFill="1" applyBorder="1" applyAlignment="1">
      <alignment horizontal="left" vertical="center" indent="1"/>
    </xf>
    <xf numFmtId="0" fontId="39" fillId="41" borderId="54" xfId="0" applyFont="1" applyFill="1" applyBorder="1" applyAlignment="1">
      <alignment horizontal="left" vertical="center" indent="1"/>
    </xf>
    <xf numFmtId="176" fontId="37" fillId="41" borderId="34" xfId="0" applyNumberFormat="1" applyFont="1" applyFill="1" applyBorder="1" applyAlignment="1">
      <alignment horizontal="left" vertical="center" indent="1"/>
    </xf>
    <xf numFmtId="176" fontId="37" fillId="41" borderId="54" xfId="0" applyNumberFormat="1" applyFont="1" applyFill="1" applyBorder="1" applyAlignment="1">
      <alignment horizontal="left" vertical="center" indent="1"/>
    </xf>
    <xf numFmtId="0" fontId="39" fillId="16" borderId="34" xfId="0" applyFont="1" applyFill="1" applyBorder="1" applyAlignment="1">
      <alignment horizontal="left" vertical="center" indent="1"/>
    </xf>
    <xf numFmtId="0" fontId="39" fillId="16" borderId="54" xfId="0" applyFont="1" applyFill="1" applyBorder="1" applyAlignment="1">
      <alignment horizontal="left" vertical="center" indent="1"/>
    </xf>
    <xf numFmtId="0" fontId="120" fillId="49" borderId="30" xfId="0" applyFont="1" applyFill="1" applyBorder="1" applyAlignment="1">
      <alignment horizontal="center" vertical="center"/>
    </xf>
    <xf numFmtId="0" fontId="120" fillId="49" borderId="193" xfId="0" applyFont="1" applyFill="1" applyBorder="1" applyAlignment="1">
      <alignment horizontal="center" vertical="center"/>
    </xf>
    <xf numFmtId="176" fontId="115" fillId="16" borderId="34" xfId="0" applyNumberFormat="1" applyFont="1" applyFill="1" applyBorder="1" applyAlignment="1">
      <alignment horizontal="left" vertical="center" indent="1"/>
    </xf>
    <xf numFmtId="176" fontId="115" fillId="16" borderId="54" xfId="0" applyNumberFormat="1" applyFont="1" applyFill="1" applyBorder="1" applyAlignment="1">
      <alignment horizontal="left" vertical="center" indent="1"/>
    </xf>
    <xf numFmtId="0" fontId="37" fillId="47" borderId="1" xfId="0" applyFont="1" applyFill="1" applyBorder="1" applyAlignment="1">
      <alignment horizontal="center" vertical="center"/>
    </xf>
    <xf numFmtId="0" fontId="37" fillId="47" borderId="207" xfId="0" applyFont="1" applyFill="1" applyBorder="1" applyAlignment="1">
      <alignment horizontal="center" vertical="center"/>
    </xf>
    <xf numFmtId="186" fontId="26" fillId="47" borderId="32" xfId="0" applyNumberFormat="1" applyFont="1" applyFill="1" applyBorder="1" applyAlignment="1" applyProtection="1">
      <alignment horizontal="center" vertical="center"/>
      <protection locked="0"/>
    </xf>
    <xf numFmtId="186" fontId="26" fillId="47" borderId="160" xfId="0" applyNumberFormat="1" applyFont="1" applyFill="1" applyBorder="1" applyAlignment="1" applyProtection="1">
      <alignment horizontal="center" vertical="center"/>
      <protection locked="0"/>
    </xf>
    <xf numFmtId="0" fontId="37" fillId="47" borderId="32" xfId="0" applyFont="1" applyFill="1" applyBorder="1" applyAlignment="1">
      <alignment horizontal="center" vertical="center"/>
    </xf>
    <xf numFmtId="0" fontId="26" fillId="47" borderId="208" xfId="0" applyFont="1" applyFill="1" applyBorder="1" applyAlignment="1" applyProtection="1">
      <alignment horizontal="center" vertical="center"/>
      <protection locked="0"/>
    </xf>
    <xf numFmtId="0" fontId="26" fillId="47" borderId="32" xfId="0" applyFont="1" applyFill="1" applyBorder="1" applyAlignment="1" applyProtection="1">
      <alignment horizontal="center" vertical="center"/>
      <protection locked="0"/>
    </xf>
    <xf numFmtId="0" fontId="28" fillId="30" borderId="30" xfId="0" applyFont="1" applyFill="1" applyBorder="1" applyAlignment="1">
      <alignment horizontal="center" vertical="center"/>
    </xf>
    <xf numFmtId="0" fontId="28" fillId="30" borderId="193" xfId="0" applyFont="1" applyFill="1" applyBorder="1" applyAlignment="1">
      <alignment horizontal="center" vertical="center"/>
    </xf>
    <xf numFmtId="176" fontId="62" fillId="41" borderId="34" xfId="0" applyNumberFormat="1" applyFont="1" applyFill="1" applyBorder="1" applyAlignment="1">
      <alignment horizontal="left" vertical="center" indent="1"/>
    </xf>
    <xf numFmtId="176" fontId="63" fillId="41" borderId="54" xfId="0" applyNumberFormat="1" applyFont="1" applyFill="1" applyBorder="1" applyAlignment="1">
      <alignment horizontal="left" vertical="center" indent="1"/>
    </xf>
    <xf numFmtId="0" fontId="28" fillId="16" borderId="0" xfId="0" applyFont="1" applyFill="1" applyAlignment="1" applyProtection="1">
      <alignment horizontal="center" wrapText="1"/>
      <protection locked="0"/>
    </xf>
    <xf numFmtId="0" fontId="28" fillId="16" borderId="4" xfId="0" applyFont="1" applyFill="1" applyBorder="1" applyAlignment="1" applyProtection="1">
      <alignment horizontal="center" wrapText="1"/>
      <protection locked="0"/>
    </xf>
    <xf numFmtId="177" fontId="28" fillId="0" borderId="31" xfId="0" applyNumberFormat="1" applyFont="1" applyBorder="1" applyAlignment="1" applyProtection="1">
      <alignment horizontal="center" vertical="center"/>
      <protection locked="0"/>
    </xf>
    <xf numFmtId="0" fontId="52" fillId="16" borderId="34" xfId="0" applyFont="1" applyFill="1" applyBorder="1" applyAlignment="1">
      <alignment horizontal="left" vertical="center" indent="1"/>
    </xf>
    <xf numFmtId="0" fontId="52" fillId="16" borderId="54" xfId="0" applyFont="1" applyFill="1" applyBorder="1" applyAlignment="1">
      <alignment horizontal="left" vertical="center" indent="1"/>
    </xf>
    <xf numFmtId="14" fontId="31" fillId="44" borderId="13" xfId="0" applyNumberFormat="1" applyFont="1" applyFill="1" applyBorder="1" applyAlignment="1" applyProtection="1">
      <alignment horizontal="center" vertical="center"/>
      <protection locked="0"/>
    </xf>
    <xf numFmtId="0" fontId="37" fillId="31" borderId="65" xfId="0" applyFont="1" applyFill="1" applyBorder="1" applyAlignment="1">
      <alignment horizontal="center" vertical="center"/>
    </xf>
    <xf numFmtId="0" fontId="37" fillId="31" borderId="66" xfId="0" applyFont="1" applyFill="1" applyBorder="1" applyAlignment="1">
      <alignment horizontal="center" vertical="center"/>
    </xf>
    <xf numFmtId="176" fontId="37" fillId="31" borderId="65" xfId="0" applyNumberFormat="1" applyFont="1" applyFill="1" applyBorder="1" applyAlignment="1">
      <alignment horizontal="center" vertical="center"/>
    </xf>
    <xf numFmtId="176" fontId="37" fillId="31" borderId="66" xfId="0" applyNumberFormat="1" applyFont="1" applyFill="1" applyBorder="1" applyAlignment="1">
      <alignment horizontal="center" vertical="center"/>
    </xf>
    <xf numFmtId="176" fontId="37" fillId="31" borderId="194" xfId="0" applyNumberFormat="1" applyFont="1" applyFill="1" applyBorder="1" applyAlignment="1">
      <alignment horizontal="center" vertical="center"/>
    </xf>
    <xf numFmtId="0" fontId="65" fillId="16" borderId="70" xfId="0" applyFont="1" applyFill="1" applyBorder="1" applyAlignment="1">
      <alignment horizontal="left" vertical="center" indent="1"/>
    </xf>
    <xf numFmtId="0" fontId="65" fillId="16" borderId="164" xfId="0" applyFont="1" applyFill="1" applyBorder="1" applyAlignment="1">
      <alignment horizontal="left" vertical="center" indent="1"/>
    </xf>
    <xf numFmtId="176" fontId="32" fillId="16" borderId="70" xfId="0" applyNumberFormat="1" applyFont="1" applyFill="1" applyBorder="1" applyAlignment="1">
      <alignment horizontal="left" vertical="center" indent="1"/>
    </xf>
    <xf numFmtId="176" fontId="32" fillId="16" borderId="164" xfId="0" applyNumberFormat="1" applyFont="1" applyFill="1" applyBorder="1" applyAlignment="1">
      <alignment horizontal="left" vertical="center" indent="1"/>
    </xf>
    <xf numFmtId="0" fontId="29" fillId="36" borderId="60" xfId="0" applyFont="1" applyFill="1" applyBorder="1" applyAlignment="1" applyProtection="1">
      <alignment horizontal="left" vertical="center" wrapText="1" indent="1"/>
      <protection locked="0"/>
    </xf>
    <xf numFmtId="0" fontId="29" fillId="36" borderId="58" xfId="0" applyFont="1" applyFill="1" applyBorder="1" applyAlignment="1" applyProtection="1">
      <alignment horizontal="left" vertical="center" wrapText="1" indent="1"/>
      <protection locked="0"/>
    </xf>
    <xf numFmtId="0" fontId="29" fillId="41" borderId="205" xfId="0" applyFont="1" applyFill="1" applyBorder="1" applyAlignment="1" applyProtection="1">
      <alignment horizontal="left" vertical="center" wrapText="1" indent="1"/>
      <protection locked="0"/>
    </xf>
    <xf numFmtId="0" fontId="29" fillId="41" borderId="58" xfId="0" applyFont="1" applyFill="1" applyBorder="1" applyAlignment="1" applyProtection="1">
      <alignment horizontal="left" vertical="center" wrapText="1" indent="1"/>
      <protection locked="0"/>
    </xf>
    <xf numFmtId="0" fontId="87" fillId="16" borderId="8" xfId="0" applyFont="1" applyFill="1" applyBorder="1" applyAlignment="1" applyProtection="1">
      <alignment horizontal="left" vertical="center" wrapText="1" indent="1"/>
      <protection locked="0"/>
    </xf>
    <xf numFmtId="0" fontId="87" fillId="16" borderId="67" xfId="0" applyFont="1" applyFill="1" applyBorder="1" applyAlignment="1" applyProtection="1">
      <alignment horizontal="left" vertical="center" wrapText="1" indent="1"/>
      <protection locked="0"/>
    </xf>
    <xf numFmtId="14" fontId="29" fillId="36" borderId="205" xfId="0" applyNumberFormat="1" applyFont="1" applyFill="1" applyBorder="1" applyAlignment="1" applyProtection="1">
      <alignment horizontal="center" vertical="center" wrapText="1"/>
      <protection locked="0"/>
    </xf>
    <xf numFmtId="14" fontId="29" fillId="36" borderId="44" xfId="0" applyNumberFormat="1" applyFont="1" applyFill="1" applyBorder="1" applyAlignment="1" applyProtection="1">
      <alignment horizontal="center" vertical="center" wrapText="1"/>
      <protection locked="0"/>
    </xf>
    <xf numFmtId="182" fontId="38" fillId="16" borderId="57" xfId="0" applyNumberFormat="1" applyFont="1" applyFill="1" applyBorder="1" applyAlignment="1">
      <alignment horizontal="center" vertical="center"/>
    </xf>
    <xf numFmtId="182" fontId="38" fillId="16" borderId="44" xfId="0" applyNumberFormat="1" applyFont="1" applyFill="1" applyBorder="1" applyAlignment="1">
      <alignment horizontal="center" vertical="center"/>
    </xf>
    <xf numFmtId="176" fontId="38" fillId="61" borderId="162" xfId="0" applyNumberFormat="1" applyFont="1" applyFill="1" applyBorder="1" applyAlignment="1">
      <alignment horizontal="center" vertical="center"/>
    </xf>
    <xf numFmtId="176" fontId="38" fillId="61" borderId="2" xfId="0" applyNumberFormat="1" applyFont="1" applyFill="1" applyBorder="1" applyAlignment="1">
      <alignment horizontal="center" vertical="center"/>
    </xf>
    <xf numFmtId="176" fontId="38" fillId="61" borderId="18" xfId="0" applyNumberFormat="1" applyFont="1" applyFill="1" applyBorder="1" applyAlignment="1">
      <alignment horizontal="center" vertical="center"/>
    </xf>
    <xf numFmtId="176" fontId="38" fillId="61" borderId="43" xfId="0" applyNumberFormat="1" applyFont="1" applyFill="1" applyBorder="1" applyAlignment="1">
      <alignment horizontal="center" vertical="center"/>
    </xf>
    <xf numFmtId="0" fontId="96" fillId="61" borderId="1" xfId="0" applyFont="1" applyFill="1" applyBorder="1" applyAlignment="1">
      <alignment horizontal="center" vertical="center" wrapText="1"/>
    </xf>
    <xf numFmtId="0" fontId="96" fillId="61" borderId="160" xfId="0" applyFont="1" applyFill="1" applyBorder="1" applyAlignment="1">
      <alignment horizontal="center" vertical="center" wrapText="1"/>
    </xf>
    <xf numFmtId="0" fontId="96" fillId="61" borderId="42" xfId="0" applyFont="1" applyFill="1" applyBorder="1" applyAlignment="1">
      <alignment horizontal="center" vertical="center" wrapText="1"/>
    </xf>
    <xf numFmtId="0" fontId="96" fillId="61" borderId="20" xfId="0" applyFont="1" applyFill="1" applyBorder="1" applyAlignment="1">
      <alignment horizontal="center" vertical="center" wrapText="1"/>
    </xf>
    <xf numFmtId="0" fontId="96" fillId="61" borderId="161" xfId="0" applyFont="1" applyFill="1" applyBorder="1" applyAlignment="1">
      <alignment horizontal="center" vertical="center" wrapText="1"/>
    </xf>
    <xf numFmtId="0" fontId="96" fillId="61" borderId="52" xfId="0" applyFont="1" applyFill="1" applyBorder="1" applyAlignment="1">
      <alignment horizontal="center" vertical="center" wrapText="1"/>
    </xf>
    <xf numFmtId="0" fontId="105" fillId="41" borderId="12" xfId="0" applyFont="1" applyFill="1" applyBorder="1" applyAlignment="1">
      <alignment horizontal="center" vertical="center"/>
    </xf>
    <xf numFmtId="0" fontId="105" fillId="41" borderId="13" xfId="0" applyFont="1" applyFill="1" applyBorder="1" applyAlignment="1">
      <alignment horizontal="center" vertical="center"/>
    </xf>
    <xf numFmtId="0" fontId="96" fillId="16" borderId="24" xfId="0" applyFont="1" applyFill="1" applyBorder="1" applyAlignment="1">
      <alignment horizontal="center" vertical="center"/>
    </xf>
    <xf numFmtId="0" fontId="96" fillId="16" borderId="26" xfId="0" applyFont="1" applyFill="1" applyBorder="1" applyAlignment="1">
      <alignment horizontal="center" vertical="center"/>
    </xf>
    <xf numFmtId="0" fontId="96" fillId="61" borderId="162" xfId="0" applyFont="1" applyFill="1" applyBorder="1" applyAlignment="1">
      <alignment horizontal="center" vertical="center"/>
    </xf>
    <xf numFmtId="0" fontId="96" fillId="61" borderId="160" xfId="0" applyFont="1" applyFill="1" applyBorder="1" applyAlignment="1">
      <alignment horizontal="center" vertical="center"/>
    </xf>
    <xf numFmtId="0" fontId="96" fillId="61" borderId="18" xfId="0" applyFont="1" applyFill="1" applyBorder="1" applyAlignment="1">
      <alignment horizontal="center" vertical="center"/>
    </xf>
    <xf numFmtId="0" fontId="96" fillId="61" borderId="20" xfId="0" applyFont="1" applyFill="1" applyBorder="1" applyAlignment="1">
      <alignment horizontal="center" vertical="center"/>
    </xf>
    <xf numFmtId="183" fontId="96" fillId="41" borderId="53" xfId="0" applyNumberFormat="1" applyFont="1" applyFill="1" applyBorder="1" applyAlignment="1">
      <alignment horizontal="center" vertical="center"/>
    </xf>
    <xf numFmtId="183" fontId="96" fillId="41" borderId="56" xfId="0" applyNumberFormat="1" applyFont="1" applyFill="1" applyBorder="1" applyAlignment="1">
      <alignment horizontal="center" vertical="center"/>
    </xf>
    <xf numFmtId="183" fontId="96" fillId="16" borderId="57" xfId="0" applyNumberFormat="1" applyFont="1" applyFill="1" applyBorder="1" applyAlignment="1">
      <alignment horizontal="center" vertical="center"/>
    </xf>
    <xf numFmtId="183" fontId="96" fillId="16" borderId="58" xfId="0" applyNumberFormat="1" applyFont="1" applyFill="1" applyBorder="1" applyAlignment="1">
      <alignment horizontal="center" vertical="center"/>
    </xf>
    <xf numFmtId="0" fontId="28" fillId="16" borderId="3" xfId="0" applyFont="1" applyFill="1" applyBorder="1" applyAlignment="1">
      <alignment horizontal="center" vertical="center"/>
    </xf>
    <xf numFmtId="0" fontId="28" fillId="16" borderId="192" xfId="0" applyFont="1" applyFill="1" applyBorder="1" applyAlignment="1">
      <alignment horizontal="center" vertical="center"/>
    </xf>
    <xf numFmtId="0" fontId="89" fillId="62" borderId="0" xfId="0" applyFont="1" applyFill="1" applyAlignment="1">
      <alignment horizontal="center" vertical="center"/>
    </xf>
    <xf numFmtId="0" fontId="38" fillId="16" borderId="27" xfId="0" applyFont="1" applyFill="1" applyBorder="1" applyAlignment="1">
      <alignment horizontal="center" vertical="center"/>
    </xf>
    <xf numFmtId="0" fontId="38" fillId="16" borderId="29" xfId="0" applyFont="1" applyFill="1" applyBorder="1" applyAlignment="1">
      <alignment horizontal="center" vertical="center"/>
    </xf>
    <xf numFmtId="0" fontId="40" fillId="53" borderId="32" xfId="0" applyFont="1" applyFill="1" applyBorder="1" applyAlignment="1">
      <alignment horizontal="left" vertical="center" indent="1"/>
    </xf>
    <xf numFmtId="0" fontId="40" fillId="53" borderId="2" xfId="0" applyFont="1" applyFill="1" applyBorder="1" applyAlignment="1">
      <alignment horizontal="left" vertical="center" indent="1"/>
    </xf>
    <xf numFmtId="0" fontId="40" fillId="53" borderId="28" xfId="0" applyFont="1" applyFill="1" applyBorder="1" applyAlignment="1">
      <alignment horizontal="left" vertical="center" indent="1"/>
    </xf>
    <xf numFmtId="0" fontId="40" fillId="53" borderId="11" xfId="0" applyFont="1" applyFill="1" applyBorder="1" applyAlignment="1">
      <alignment horizontal="left" vertical="center" indent="1"/>
    </xf>
    <xf numFmtId="0" fontId="40" fillId="56" borderId="104" xfId="0" applyFont="1" applyFill="1" applyBorder="1" applyAlignment="1">
      <alignment horizontal="center" vertical="top"/>
    </xf>
    <xf numFmtId="0" fontId="38" fillId="44" borderId="113" xfId="0" applyFont="1" applyFill="1" applyBorder="1" applyAlignment="1">
      <alignment horizontal="center" vertical="center" textRotation="255"/>
    </xf>
    <xf numFmtId="0" fontId="38" fillId="44" borderId="114" xfId="0" applyFont="1" applyFill="1" applyBorder="1" applyAlignment="1">
      <alignment horizontal="center" vertical="center" textRotation="255"/>
    </xf>
    <xf numFmtId="0" fontId="38" fillId="44" borderId="115" xfId="0" applyFont="1" applyFill="1" applyBorder="1" applyAlignment="1">
      <alignment horizontal="center" vertical="center" textRotation="255"/>
    </xf>
    <xf numFmtId="0" fontId="38" fillId="15" borderId="101" xfId="0" applyFont="1" applyFill="1" applyBorder="1" applyAlignment="1">
      <alignment horizontal="center" vertical="center" textRotation="255"/>
    </xf>
    <xf numFmtId="0" fontId="38" fillId="15" borderId="103" xfId="0" applyFont="1" applyFill="1" applyBorder="1" applyAlignment="1">
      <alignment horizontal="center" vertical="center" textRotation="255"/>
    </xf>
    <xf numFmtId="0" fontId="38" fillId="15" borderId="102" xfId="0" applyFont="1" applyFill="1" applyBorder="1" applyAlignment="1">
      <alignment horizontal="center" vertical="center" textRotation="255"/>
    </xf>
    <xf numFmtId="0" fontId="80" fillId="0" borderId="122" xfId="0" applyFont="1" applyBorder="1" applyAlignment="1">
      <alignment horizontal="left" vertical="center" indent="1"/>
    </xf>
    <xf numFmtId="0" fontId="80" fillId="0" borderId="105" xfId="0" applyFont="1" applyBorder="1" applyAlignment="1">
      <alignment horizontal="left" vertical="center" indent="1"/>
    </xf>
    <xf numFmtId="0" fontId="79" fillId="57" borderId="121" xfId="0" applyFont="1" applyFill="1" applyBorder="1" applyAlignment="1">
      <alignment horizontal="center" vertical="center"/>
    </xf>
    <xf numFmtId="0" fontId="79" fillId="57" borderId="106" xfId="0" applyFont="1" applyFill="1" applyBorder="1" applyAlignment="1">
      <alignment horizontal="center" vertical="center"/>
    </xf>
    <xf numFmtId="0" fontId="80" fillId="2" borderId="122" xfId="0" applyFont="1" applyFill="1" applyBorder="1" applyAlignment="1">
      <alignment horizontal="left" vertical="center" indent="1"/>
    </xf>
    <xf numFmtId="0" fontId="80" fillId="2" borderId="105" xfId="0" applyFont="1" applyFill="1" applyBorder="1" applyAlignment="1">
      <alignment horizontal="left" vertical="center" indent="1"/>
    </xf>
    <xf numFmtId="0" fontId="38" fillId="44" borderId="101" xfId="0" applyFont="1" applyFill="1" applyBorder="1" applyAlignment="1">
      <alignment horizontal="center" vertical="center" textRotation="255"/>
    </xf>
    <xf numFmtId="0" fontId="38" fillId="44" borderId="103" xfId="0" applyFont="1" applyFill="1" applyBorder="1" applyAlignment="1">
      <alignment horizontal="center" vertical="center" textRotation="255"/>
    </xf>
    <xf numFmtId="0" fontId="38" fillId="44" borderId="102" xfId="0" applyFont="1" applyFill="1" applyBorder="1" applyAlignment="1">
      <alignment horizontal="center" vertical="center" textRotation="255"/>
    </xf>
    <xf numFmtId="0" fontId="38" fillId="10" borderId="155" xfId="0" applyFont="1" applyFill="1" applyBorder="1" applyAlignment="1">
      <alignment horizontal="center" vertical="center" textRotation="255"/>
    </xf>
    <xf numFmtId="0" fontId="38" fillId="10" borderId="156" xfId="0" applyFont="1" applyFill="1" applyBorder="1" applyAlignment="1">
      <alignment horizontal="center" vertical="center" textRotation="255"/>
    </xf>
    <xf numFmtId="0" fontId="38" fillId="10" borderId="157" xfId="0" applyFont="1" applyFill="1" applyBorder="1" applyAlignment="1">
      <alignment horizontal="center" vertical="center" textRotation="255"/>
    </xf>
    <xf numFmtId="0" fontId="38" fillId="45" borderId="137" xfId="0" applyFont="1" applyFill="1" applyBorder="1" applyAlignment="1">
      <alignment horizontal="center" vertical="center" textRotation="255"/>
    </xf>
    <xf numFmtId="0" fontId="38" fillId="45" borderId="142" xfId="0" applyFont="1" applyFill="1" applyBorder="1" applyAlignment="1">
      <alignment horizontal="center" vertical="center" textRotation="255"/>
    </xf>
    <xf numFmtId="0" fontId="38" fillId="0" borderId="127" xfId="0" applyFont="1" applyBorder="1" applyAlignment="1" applyProtection="1">
      <alignment horizontal="left" vertical="center" indent="1"/>
      <protection locked="0"/>
    </xf>
    <xf numFmtId="0" fontId="38" fillId="0" borderId="123" xfId="0" applyFont="1" applyBorder="1" applyAlignment="1" applyProtection="1">
      <alignment horizontal="left" vertical="center" indent="1"/>
      <protection locked="0"/>
    </xf>
    <xf numFmtId="0" fontId="38" fillId="16" borderId="122" xfId="0" applyFont="1" applyFill="1" applyBorder="1" applyAlignment="1">
      <alignment horizontal="left" vertical="center" indent="1"/>
    </xf>
    <xf numFmtId="0" fontId="38" fillId="16" borderId="105" xfId="0" applyFont="1" applyFill="1" applyBorder="1" applyAlignment="1">
      <alignment horizontal="left" vertical="center" indent="1"/>
    </xf>
    <xf numFmtId="0" fontId="40" fillId="46" borderId="28" xfId="0" applyFont="1" applyFill="1" applyBorder="1" applyAlignment="1">
      <alignment horizontal="center" vertical="top"/>
    </xf>
    <xf numFmtId="0" fontId="40" fillId="46" borderId="31" xfId="0" applyFont="1" applyFill="1" applyBorder="1" applyAlignment="1">
      <alignment horizontal="center" vertical="top"/>
    </xf>
    <xf numFmtId="0" fontId="80" fillId="2" borderId="123" xfId="0" applyFont="1" applyFill="1" applyBorder="1" applyAlignment="1">
      <alignment horizontal="left" vertical="center" indent="1"/>
    </xf>
    <xf numFmtId="0" fontId="80" fillId="2" borderId="109" xfId="0" applyFont="1" applyFill="1" applyBorder="1" applyAlignment="1">
      <alignment horizontal="left" vertical="center" indent="1"/>
    </xf>
    <xf numFmtId="0" fontId="88" fillId="46" borderId="1" xfId="0" applyFont="1" applyFill="1" applyBorder="1" applyAlignment="1">
      <alignment horizontal="center" vertical="center"/>
    </xf>
    <xf numFmtId="0" fontId="88" fillId="46" borderId="32" xfId="0" applyFont="1" applyFill="1" applyBorder="1" applyAlignment="1">
      <alignment horizontal="center" vertical="center"/>
    </xf>
    <xf numFmtId="0" fontId="88" fillId="46" borderId="2" xfId="0" applyFont="1" applyFill="1" applyBorder="1" applyAlignment="1">
      <alignment horizontal="center" vertical="center"/>
    </xf>
    <xf numFmtId="0" fontId="85" fillId="59" borderId="147" xfId="0" applyFont="1" applyFill="1" applyBorder="1" applyAlignment="1">
      <alignment horizontal="center" vertical="center"/>
    </xf>
    <xf numFmtId="0" fontId="85" fillId="59" borderId="139" xfId="0" applyFont="1" applyFill="1" applyBorder="1" applyAlignment="1">
      <alignment horizontal="center" vertical="center"/>
    </xf>
    <xf numFmtId="0" fontId="38" fillId="43" borderId="139" xfId="0" applyFont="1" applyFill="1" applyBorder="1" applyAlignment="1">
      <alignment horizontal="left" vertical="center" indent="1"/>
    </xf>
    <xf numFmtId="0" fontId="38" fillId="43" borderId="140" xfId="0" applyFont="1" applyFill="1" applyBorder="1" applyAlignment="1">
      <alignment horizontal="left" vertical="center" indent="1"/>
    </xf>
    <xf numFmtId="0" fontId="80" fillId="47" borderId="122" xfId="0" applyFont="1" applyFill="1" applyBorder="1" applyAlignment="1">
      <alignment horizontal="left" vertical="center" indent="1"/>
    </xf>
    <xf numFmtId="0" fontId="80" fillId="47" borderId="105" xfId="0" applyFont="1" applyFill="1" applyBorder="1" applyAlignment="1">
      <alignment horizontal="left" vertical="center" indent="1"/>
    </xf>
    <xf numFmtId="0" fontId="80" fillId="47" borderId="111" xfId="0" applyFont="1" applyFill="1" applyBorder="1" applyAlignment="1">
      <alignment horizontal="left" vertical="center" indent="1"/>
    </xf>
    <xf numFmtId="0" fontId="80" fillId="2" borderId="0" xfId="0" applyFont="1" applyFill="1" applyAlignment="1">
      <alignment horizontal="left" vertical="center" indent="1"/>
    </xf>
    <xf numFmtId="0" fontId="80" fillId="11" borderId="131" xfId="0" applyFont="1" applyFill="1" applyBorder="1" applyAlignment="1">
      <alignment horizontal="left" vertical="center" indent="1"/>
    </xf>
    <xf numFmtId="0" fontId="80" fillId="11" borderId="54" xfId="0" applyFont="1" applyFill="1" applyBorder="1" applyAlignment="1">
      <alignment horizontal="left" vertical="center" indent="1"/>
    </xf>
    <xf numFmtId="0" fontId="80" fillId="11" borderId="132" xfId="0" applyFont="1" applyFill="1" applyBorder="1" applyAlignment="1">
      <alignment horizontal="left" vertical="center" indent="1"/>
    </xf>
    <xf numFmtId="0" fontId="80" fillId="0" borderId="121" xfId="0" applyFont="1" applyBorder="1" applyAlignment="1">
      <alignment horizontal="left" vertical="center" indent="1"/>
    </xf>
    <xf numFmtId="0" fontId="80" fillId="0" borderId="106" xfId="0" applyFont="1" applyBorder="1" applyAlignment="1">
      <alignment horizontal="left" vertical="center" indent="1"/>
    </xf>
    <xf numFmtId="0" fontId="80" fillId="0" borderId="122" xfId="0" applyFont="1" applyBorder="1" applyAlignment="1">
      <alignment horizontal="left" vertical="center" wrapText="1" indent="1"/>
    </xf>
    <xf numFmtId="0" fontId="38" fillId="43" borderId="144" xfId="0" applyFont="1" applyFill="1" applyBorder="1" applyAlignment="1">
      <alignment horizontal="left" vertical="center" indent="1"/>
    </xf>
    <xf numFmtId="0" fontId="38" fillId="43" borderId="145" xfId="0" applyFont="1" applyFill="1" applyBorder="1" applyAlignment="1">
      <alignment horizontal="left" vertical="center" indent="1"/>
    </xf>
    <xf numFmtId="0" fontId="38" fillId="42" borderId="101" xfId="0" applyFont="1" applyFill="1" applyBorder="1" applyAlignment="1">
      <alignment horizontal="center" vertical="center" textRotation="255"/>
    </xf>
    <xf numFmtId="0" fontId="38" fillId="42" borderId="103" xfId="0" applyFont="1" applyFill="1" applyBorder="1" applyAlignment="1">
      <alignment horizontal="center" vertical="center" textRotation="255"/>
    </xf>
    <xf numFmtId="0" fontId="38" fillId="42" borderId="102" xfId="0" applyFont="1" applyFill="1" applyBorder="1" applyAlignment="1">
      <alignment horizontal="center" vertical="center" textRotation="255"/>
    </xf>
    <xf numFmtId="0" fontId="38" fillId="0" borderId="125" xfId="0" applyFont="1" applyBorder="1" applyAlignment="1" applyProtection="1">
      <alignment horizontal="left" vertical="center" indent="1"/>
      <protection locked="0"/>
    </xf>
    <xf numFmtId="0" fontId="38" fillId="0" borderId="121" xfId="0" applyFont="1" applyBorder="1" applyAlignment="1" applyProtection="1">
      <alignment horizontal="left" vertical="center" indent="1"/>
      <protection locked="0"/>
    </xf>
    <xf numFmtId="0" fontId="38" fillId="46" borderId="126" xfId="0" applyFont="1" applyFill="1" applyBorder="1" applyAlignment="1" applyProtection="1">
      <alignment horizontal="left" vertical="center" indent="1"/>
      <protection locked="0"/>
    </xf>
    <xf numFmtId="0" fontId="38" fillId="46" borderId="122" xfId="0" applyFont="1" applyFill="1" applyBorder="1" applyAlignment="1" applyProtection="1">
      <alignment horizontal="left" vertical="center" indent="1"/>
      <protection locked="0"/>
    </xf>
    <xf numFmtId="0" fontId="38" fillId="43" borderId="122" xfId="0" applyFont="1" applyFill="1" applyBorder="1" applyAlignment="1">
      <alignment horizontal="left" vertical="center" indent="1"/>
    </xf>
    <xf numFmtId="0" fontId="38" fillId="43" borderId="105" xfId="0" applyFont="1" applyFill="1" applyBorder="1" applyAlignment="1">
      <alignment horizontal="left" vertical="center" indent="1"/>
    </xf>
    <xf numFmtId="0" fontId="80" fillId="58" borderId="12" xfId="0" applyFont="1" applyFill="1" applyBorder="1" applyAlignment="1" applyProtection="1">
      <alignment horizontal="left" vertical="center" indent="1"/>
      <protection locked="0"/>
    </xf>
    <xf numFmtId="0" fontId="80" fillId="58" borderId="13" xfId="0" applyFont="1" applyFill="1" applyBorder="1" applyAlignment="1" applyProtection="1">
      <alignment horizontal="left" vertical="center" indent="1"/>
      <protection locked="0"/>
    </xf>
    <xf numFmtId="0" fontId="80" fillId="16" borderId="150" xfId="0" applyFont="1" applyFill="1" applyBorder="1" applyAlignment="1">
      <alignment horizontal="left" vertical="center" indent="1"/>
    </xf>
    <xf numFmtId="0" fontId="80" fillId="16" borderId="124" xfId="0" applyFont="1" applyFill="1" applyBorder="1" applyAlignment="1">
      <alignment horizontal="left" vertical="center" indent="1"/>
    </xf>
    <xf numFmtId="0" fontId="80" fillId="55" borderId="138" xfId="0" applyFont="1" applyFill="1" applyBorder="1" applyAlignment="1">
      <alignment horizontal="left" vertical="center" indent="1"/>
    </xf>
    <xf numFmtId="0" fontId="80" fillId="55" borderId="139" xfId="0" applyFont="1" applyFill="1" applyBorder="1" applyAlignment="1">
      <alignment horizontal="left" vertical="center" indent="1"/>
    </xf>
    <xf numFmtId="0" fontId="40" fillId="53" borderId="152" xfId="0" applyFont="1" applyFill="1" applyBorder="1" applyAlignment="1">
      <alignment vertical="center" textRotation="255"/>
    </xf>
    <xf numFmtId="0" fontId="40" fillId="53" borderId="153" xfId="0" applyFont="1" applyFill="1" applyBorder="1" applyAlignment="1">
      <alignment vertical="center" textRotation="255"/>
    </xf>
    <xf numFmtId="0" fontId="80" fillId="16" borderId="35" xfId="0" applyFont="1" applyFill="1" applyBorder="1" applyAlignment="1" applyProtection="1">
      <alignment horizontal="left" vertical="center" indent="1"/>
      <protection locked="0"/>
    </xf>
    <xf numFmtId="0" fontId="80" fillId="16" borderId="55" xfId="0" applyFont="1" applyFill="1" applyBorder="1" applyAlignment="1" applyProtection="1">
      <alignment horizontal="left" vertical="center" indent="1"/>
      <protection locked="0"/>
    </xf>
    <xf numFmtId="0" fontId="80" fillId="16" borderId="148" xfId="0" applyFont="1" applyFill="1" applyBorder="1" applyAlignment="1">
      <alignment horizontal="left" vertical="center" indent="1"/>
    </xf>
    <xf numFmtId="0" fontId="80" fillId="16" borderId="122" xfId="0" applyFont="1" applyFill="1" applyBorder="1" applyAlignment="1">
      <alignment horizontal="left" vertical="center" indent="1"/>
    </xf>
    <xf numFmtId="0" fontId="80" fillId="58" borderId="148" xfId="0" applyFont="1" applyFill="1" applyBorder="1" applyAlignment="1">
      <alignment horizontal="left" vertical="center" indent="1"/>
    </xf>
    <xf numFmtId="0" fontId="80" fillId="58" borderId="122" xfId="0" applyFont="1" applyFill="1" applyBorder="1" applyAlignment="1">
      <alignment horizontal="left" vertical="center" indent="1"/>
    </xf>
    <xf numFmtId="0" fontId="80" fillId="0" borderId="143" xfId="0" applyFont="1" applyBorder="1" applyAlignment="1">
      <alignment horizontal="left" vertical="center" indent="1"/>
    </xf>
    <xf numFmtId="0" fontId="80" fillId="0" borderId="144" xfId="0" applyFont="1" applyBorder="1" applyAlignment="1">
      <alignment horizontal="left" vertical="center" indent="1"/>
    </xf>
    <xf numFmtId="0" fontId="88" fillId="43" borderId="32" xfId="0" applyFont="1" applyFill="1" applyBorder="1" applyAlignment="1">
      <alignment horizontal="center" vertical="center"/>
    </xf>
    <xf numFmtId="0" fontId="88" fillId="56" borderId="1" xfId="0" applyFont="1" applyFill="1" applyBorder="1" applyAlignment="1">
      <alignment horizontal="center" vertical="center"/>
    </xf>
    <xf numFmtId="0" fontId="88" fillId="56" borderId="32" xfId="0" applyFont="1" applyFill="1" applyBorder="1" applyAlignment="1">
      <alignment horizontal="center" vertical="center"/>
    </xf>
    <xf numFmtId="0" fontId="88" fillId="56" borderId="2" xfId="0" applyFont="1" applyFill="1" applyBorder="1" applyAlignment="1">
      <alignment horizontal="center" vertical="center"/>
    </xf>
    <xf numFmtId="0" fontId="85" fillId="60" borderId="128" xfId="0" applyFont="1" applyFill="1" applyBorder="1" applyAlignment="1">
      <alignment horizontal="center" vertical="center"/>
    </xf>
    <xf numFmtId="0" fontId="85" fillId="60" borderId="121" xfId="0" applyFont="1" applyFill="1" applyBorder="1" applyAlignment="1">
      <alignment horizontal="center" vertical="center"/>
    </xf>
    <xf numFmtId="0" fontId="38" fillId="0" borderId="133" xfId="0" applyFont="1" applyBorder="1" applyAlignment="1">
      <alignment horizontal="left" vertical="center" indent="1"/>
    </xf>
    <xf numFmtId="0" fontId="38" fillId="0" borderId="122" xfId="0" applyFont="1" applyBorder="1" applyAlignment="1">
      <alignment horizontal="left" vertical="center" indent="1"/>
    </xf>
    <xf numFmtId="0" fontId="38" fillId="55" borderId="133" xfId="0" applyFont="1" applyFill="1" applyBorder="1" applyAlignment="1">
      <alignment horizontal="left" vertical="center" indent="1"/>
    </xf>
    <xf numFmtId="0" fontId="38" fillId="55" borderId="122" xfId="0" applyFont="1" applyFill="1" applyBorder="1" applyAlignment="1">
      <alignment horizontal="left" vertical="center" indent="1"/>
    </xf>
    <xf numFmtId="0" fontId="38" fillId="0" borderId="134" xfId="0" applyFont="1" applyBorder="1" applyAlignment="1">
      <alignment horizontal="left" vertical="center" indent="1"/>
    </xf>
    <xf numFmtId="0" fontId="38" fillId="0" borderId="123" xfId="0" applyFont="1" applyBorder="1" applyAlignment="1">
      <alignment horizontal="left" vertical="center" inden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6" borderId="14"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2" fillId="0" borderId="21" xfId="0" applyFont="1" applyBorder="1" applyAlignment="1">
      <alignment horizontal="left" vertical="center" wrapText="1" indent="1"/>
    </xf>
    <xf numFmtId="0" fontId="2" fillId="0" borderId="12" xfId="0" applyFont="1" applyBorder="1" applyAlignment="1">
      <alignment vertical="center"/>
    </xf>
    <xf numFmtId="0" fontId="2" fillId="0" borderId="13" xfId="0" applyFont="1" applyBorder="1" applyAlignment="1">
      <alignment vertical="center"/>
    </xf>
    <xf numFmtId="0" fontId="3" fillId="6" borderId="12"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2" fillId="6" borderId="21" xfId="0" applyFont="1" applyFill="1" applyBorder="1" applyAlignment="1">
      <alignment horizontal="left" vertical="center" wrapText="1" indent="1"/>
    </xf>
    <xf numFmtId="0" fontId="2" fillId="6" borderId="25" xfId="0" applyFont="1" applyFill="1" applyBorder="1" applyAlignment="1">
      <alignment horizontal="left" vertical="center" wrapText="1" inden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xf>
    <xf numFmtId="0" fontId="2" fillId="6" borderId="12" xfId="0" applyFont="1" applyFill="1" applyBorder="1" applyAlignment="1">
      <alignment horizontal="center" vertical="center"/>
    </xf>
    <xf numFmtId="0" fontId="2" fillId="6" borderId="24" xfId="0" applyFont="1" applyFill="1" applyBorder="1" applyAlignment="1">
      <alignment horizontal="center" vertical="center"/>
    </xf>
    <xf numFmtId="0" fontId="3" fillId="14" borderId="42" xfId="0" applyFont="1" applyFill="1" applyBorder="1" applyAlignment="1">
      <alignment horizontal="center" vertical="center"/>
    </xf>
    <xf numFmtId="0" fontId="3" fillId="14" borderId="43" xfId="0" applyFont="1" applyFill="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left" vertical="center" wrapText="1"/>
    </xf>
    <xf numFmtId="0" fontId="2" fillId="0" borderId="0" xfId="0" applyFont="1" applyAlignment="1">
      <alignment horizontal="left" vertical="center" wrapText="1"/>
    </xf>
    <xf numFmtId="0" fontId="2" fillId="9" borderId="12"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6" borderId="12" xfId="0" applyFont="1" applyFill="1" applyBorder="1" applyAlignment="1">
      <alignment horizontal="left" vertical="center" wrapText="1" indent="1"/>
    </xf>
    <xf numFmtId="0" fontId="2" fillId="6" borderId="35" xfId="0" applyFont="1" applyFill="1" applyBorder="1" applyAlignment="1">
      <alignment horizontal="left" vertical="center" wrapText="1" indent="1"/>
    </xf>
    <xf numFmtId="0" fontId="2" fillId="6" borderId="45" xfId="0" applyFont="1" applyFill="1" applyBorder="1" applyAlignment="1">
      <alignment horizontal="left" vertical="center" wrapText="1" indent="1"/>
    </xf>
    <xf numFmtId="0" fontId="7" fillId="6" borderId="38" xfId="0" applyFont="1" applyFill="1" applyBorder="1" applyAlignment="1">
      <alignment horizontal="left" vertical="center" wrapText="1" indent="2"/>
    </xf>
    <xf numFmtId="0" fontId="7" fillId="6" borderId="47" xfId="0" applyFont="1" applyFill="1" applyBorder="1" applyAlignment="1">
      <alignment horizontal="left" vertical="center" wrapText="1" indent="2"/>
    </xf>
    <xf numFmtId="0" fontId="4" fillId="7" borderId="34" xfId="0" applyFont="1" applyFill="1" applyBorder="1" applyAlignment="1">
      <alignment horizontal="left" vertical="center" wrapText="1"/>
    </xf>
    <xf numFmtId="0" fontId="7" fillId="13" borderId="38" xfId="0" applyFont="1" applyFill="1" applyBorder="1" applyAlignment="1">
      <alignment horizontal="left" vertical="center" wrapText="1" indent="1"/>
    </xf>
    <xf numFmtId="0" fontId="7" fillId="13" borderId="47" xfId="0" applyFont="1" applyFill="1" applyBorder="1" applyAlignment="1">
      <alignment horizontal="left" vertical="center" wrapText="1" indent="1"/>
    </xf>
    <xf numFmtId="0" fontId="7" fillId="6" borderId="36" xfId="0" applyFont="1" applyFill="1" applyBorder="1" applyAlignment="1">
      <alignment horizontal="left" vertical="center" wrapText="1" indent="1"/>
    </xf>
    <xf numFmtId="0" fontId="7" fillId="6" borderId="46" xfId="0" applyFont="1" applyFill="1" applyBorder="1" applyAlignment="1">
      <alignment horizontal="left" vertical="center" wrapText="1" indent="1"/>
    </xf>
    <xf numFmtId="0" fontId="2" fillId="11" borderId="24" xfId="0" applyFont="1" applyFill="1" applyBorder="1" applyAlignment="1">
      <alignment vertical="center"/>
    </xf>
    <xf numFmtId="0" fontId="2" fillId="11" borderId="26" xfId="0" applyFont="1" applyFill="1" applyBorder="1" applyAlignment="1">
      <alignment vertical="center"/>
    </xf>
    <xf numFmtId="0" fontId="7" fillId="6" borderId="38" xfId="0" applyFont="1" applyFill="1" applyBorder="1" applyAlignment="1">
      <alignment horizontal="left" vertical="center" wrapText="1" indent="1"/>
    </xf>
    <xf numFmtId="0" fontId="7" fillId="6" borderId="47" xfId="0" applyFont="1" applyFill="1" applyBorder="1" applyAlignment="1">
      <alignment horizontal="left" vertical="center" wrapText="1" indent="1"/>
    </xf>
    <xf numFmtId="0" fontId="3" fillId="13" borderId="35" xfId="0" applyFont="1" applyFill="1" applyBorder="1" applyAlignment="1">
      <alignment horizontal="left" vertical="center" wrapText="1"/>
    </xf>
    <xf numFmtId="0" fontId="3" fillId="13" borderId="45" xfId="0" applyFont="1" applyFill="1" applyBorder="1" applyAlignment="1">
      <alignment horizontal="lef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11" borderId="12" xfId="0" applyFont="1" applyFill="1" applyBorder="1" applyAlignment="1">
      <alignment vertical="center" wrapText="1"/>
    </xf>
    <xf numFmtId="0" fontId="2" fillId="11" borderId="13" xfId="0" applyFont="1" applyFill="1" applyBorder="1" applyAlignment="1">
      <alignment vertical="center" wrapText="1"/>
    </xf>
    <xf numFmtId="0" fontId="2" fillId="11" borderId="12" xfId="0" applyFont="1" applyFill="1" applyBorder="1" applyAlignment="1">
      <alignment vertical="center"/>
    </xf>
    <xf numFmtId="0" fontId="2" fillId="11" borderId="13" xfId="0" applyFont="1" applyFill="1" applyBorder="1" applyAlignment="1">
      <alignment vertical="center"/>
    </xf>
    <xf numFmtId="0" fontId="7" fillId="6" borderId="35" xfId="0" applyFont="1" applyFill="1" applyBorder="1" applyAlignment="1">
      <alignment horizontal="left" vertical="center" wrapText="1" indent="1"/>
    </xf>
    <xf numFmtId="0" fontId="7" fillId="6" borderId="45" xfId="0" applyFont="1" applyFill="1" applyBorder="1" applyAlignment="1">
      <alignment horizontal="left" vertical="center" wrapText="1" indent="1"/>
    </xf>
    <xf numFmtId="0" fontId="2" fillId="0" borderId="12"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left" vertical="top" wrapText="1"/>
    </xf>
    <xf numFmtId="0" fontId="8" fillId="8" borderId="39" xfId="1" applyFont="1" applyFill="1" applyBorder="1" applyAlignment="1">
      <alignment horizontal="center" vertical="center" wrapText="1"/>
    </xf>
    <xf numFmtId="0" fontId="8" fillId="8" borderId="40" xfId="1" applyFont="1" applyFill="1" applyBorder="1" applyAlignment="1">
      <alignment horizontal="center" vertical="center" wrapText="1"/>
    </xf>
    <xf numFmtId="0" fontId="8" fillId="8" borderId="41" xfId="1" applyFont="1" applyFill="1" applyBorder="1" applyAlignment="1">
      <alignment horizontal="center" vertical="center" wrapText="1"/>
    </xf>
    <xf numFmtId="0" fontId="8" fillId="8" borderId="10" xfId="1" applyFont="1" applyFill="1" applyBorder="1" applyAlignment="1">
      <alignment horizontal="center" vertical="center" wrapText="1"/>
    </xf>
    <xf numFmtId="0" fontId="8" fillId="8" borderId="28" xfId="1" applyFont="1" applyFill="1" applyBorder="1" applyAlignment="1">
      <alignment horizontal="center" vertical="center" wrapText="1"/>
    </xf>
    <xf numFmtId="0" fontId="8" fillId="8" borderId="11" xfId="1" applyFont="1" applyFill="1" applyBorder="1" applyAlignment="1">
      <alignment horizontal="center" vertical="center" wrapText="1"/>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3" fillId="15" borderId="10" xfId="0" applyFont="1" applyFill="1" applyBorder="1" applyAlignment="1">
      <alignment horizontal="center" vertical="center"/>
    </xf>
    <xf numFmtId="0" fontId="3" fillId="15" borderId="11" xfId="0" applyFont="1" applyFill="1" applyBorder="1" applyAlignment="1">
      <alignment horizontal="center" vertical="center"/>
    </xf>
    <xf numFmtId="0" fontId="2" fillId="18" borderId="37" xfId="0" applyFont="1" applyFill="1" applyBorder="1" applyAlignment="1">
      <alignment horizontal="center" vertical="center" wrapText="1"/>
    </xf>
    <xf numFmtId="0" fontId="2" fillId="18" borderId="4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4" fillId="6" borderId="27"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2" fillId="6" borderId="26" xfId="0" applyFont="1" applyFill="1" applyBorder="1" applyAlignment="1">
      <alignment horizontal="center" vertical="center"/>
    </xf>
    <xf numFmtId="0" fontId="71" fillId="56" borderId="74" xfId="0" applyFont="1" applyFill="1" applyBorder="1" applyAlignment="1">
      <alignment horizontal="left" vertical="center" wrapText="1" indent="1"/>
    </xf>
    <xf numFmtId="0" fontId="71" fillId="56" borderId="75" xfId="0" applyFont="1" applyFill="1" applyBorder="1" applyAlignment="1">
      <alignment horizontal="left" vertical="center" wrapText="1" indent="1"/>
    </xf>
    <xf numFmtId="0" fontId="71" fillId="56" borderId="76" xfId="0" applyFont="1" applyFill="1" applyBorder="1" applyAlignment="1">
      <alignment horizontal="left" vertical="center" wrapText="1" indent="1"/>
    </xf>
    <xf numFmtId="0" fontId="71" fillId="50" borderId="74" xfId="0" applyFont="1" applyFill="1" applyBorder="1" applyAlignment="1">
      <alignment horizontal="left" vertical="center" wrapText="1" indent="2"/>
    </xf>
    <xf numFmtId="0" fontId="71" fillId="50" borderId="75" xfId="0" applyFont="1" applyFill="1" applyBorder="1" applyAlignment="1">
      <alignment horizontal="left" vertical="center" wrapText="1" indent="2"/>
    </xf>
    <xf numFmtId="0" fontId="71" fillId="50" borderId="76" xfId="0" applyFont="1" applyFill="1" applyBorder="1" applyAlignment="1">
      <alignment horizontal="left" vertical="center" wrapText="1" indent="2"/>
    </xf>
    <xf numFmtId="0" fontId="71" fillId="37" borderId="74" xfId="0" applyFont="1" applyFill="1" applyBorder="1" applyAlignment="1">
      <alignment horizontal="left" vertical="center" wrapText="1" indent="1"/>
    </xf>
    <xf numFmtId="0" fontId="71" fillId="37" borderId="75" xfId="0" applyFont="1" applyFill="1" applyBorder="1" applyAlignment="1">
      <alignment horizontal="left" vertical="center" wrapText="1" indent="1"/>
    </xf>
    <xf numFmtId="0" fontId="71" fillId="37" borderId="76" xfId="0" applyFont="1" applyFill="1" applyBorder="1" applyAlignment="1">
      <alignment horizontal="left" vertical="center" wrapText="1" indent="1"/>
    </xf>
    <xf numFmtId="0" fontId="71" fillId="43" borderId="74" xfId="0" applyFont="1" applyFill="1" applyBorder="1" applyAlignment="1">
      <alignment horizontal="left" vertical="center" wrapText="1" indent="1"/>
    </xf>
    <xf numFmtId="0" fontId="71" fillId="43" borderId="75" xfId="0" applyFont="1" applyFill="1" applyBorder="1" applyAlignment="1">
      <alignment horizontal="left" vertical="center" wrapText="1" indent="1"/>
    </xf>
    <xf numFmtId="0" fontId="71" fillId="43" borderId="76" xfId="0" applyFont="1" applyFill="1" applyBorder="1" applyAlignment="1">
      <alignment horizontal="left" vertical="center" wrapText="1" indent="1"/>
    </xf>
    <xf numFmtId="0" fontId="29" fillId="55" borderId="74" xfId="0" applyFont="1" applyFill="1" applyBorder="1" applyAlignment="1">
      <alignment horizontal="left" vertical="center" wrapText="1" indent="1"/>
    </xf>
    <xf numFmtId="0" fontId="29" fillId="55" borderId="75" xfId="0" applyFont="1" applyFill="1" applyBorder="1" applyAlignment="1">
      <alignment horizontal="left" vertical="center" wrapText="1" indent="1"/>
    </xf>
    <xf numFmtId="0" fontId="29" fillId="55" borderId="76" xfId="0" applyFont="1" applyFill="1" applyBorder="1" applyAlignment="1">
      <alignment horizontal="left" vertical="center" wrapText="1" indent="1"/>
    </xf>
    <xf numFmtId="0" fontId="29" fillId="54" borderId="74" xfId="0" applyFont="1" applyFill="1" applyBorder="1" applyAlignment="1">
      <alignment horizontal="left" vertical="center" wrapText="1" indent="1"/>
    </xf>
    <xf numFmtId="0" fontId="29" fillId="54" borderId="75" xfId="0" applyFont="1" applyFill="1" applyBorder="1" applyAlignment="1">
      <alignment horizontal="left" vertical="center" wrapText="1" indent="1"/>
    </xf>
    <xf numFmtId="0" fontId="29" fillId="54" borderId="76" xfId="0" applyFont="1" applyFill="1" applyBorder="1" applyAlignment="1">
      <alignment horizontal="left" vertical="center" wrapText="1" indent="1"/>
    </xf>
    <xf numFmtId="0" fontId="2" fillId="0" borderId="98" xfId="0" applyFont="1" applyBorder="1" applyAlignment="1">
      <alignment horizontal="left" vertical="center"/>
    </xf>
    <xf numFmtId="0" fontId="2" fillId="0" borderId="13" xfId="0" applyFont="1" applyBorder="1" applyAlignment="1">
      <alignment horizontal="left" vertical="center"/>
    </xf>
    <xf numFmtId="0" fontId="3" fillId="19" borderId="97" xfId="0" applyFont="1" applyFill="1" applyBorder="1" applyAlignment="1">
      <alignment horizontal="center" vertical="center"/>
    </xf>
    <xf numFmtId="0" fontId="3" fillId="19" borderId="91" xfId="0" applyFont="1" applyFill="1" applyBorder="1" applyAlignment="1">
      <alignment horizontal="center" vertical="center"/>
    </xf>
    <xf numFmtId="0" fontId="2" fillId="2" borderId="98" xfId="0" applyFont="1" applyFill="1" applyBorder="1" applyAlignment="1">
      <alignment horizontal="left" vertical="center"/>
    </xf>
    <xf numFmtId="0" fontId="2" fillId="2" borderId="13" xfId="0" applyFont="1" applyFill="1" applyBorder="1" applyAlignment="1">
      <alignment horizontal="left" vertical="center"/>
    </xf>
    <xf numFmtId="0" fontId="2" fillId="2" borderId="99" xfId="0" applyFont="1" applyFill="1" applyBorder="1" applyAlignment="1">
      <alignment horizontal="left" vertical="center"/>
    </xf>
    <xf numFmtId="0" fontId="2" fillId="2" borderId="95" xfId="0" applyFont="1" applyFill="1" applyBorder="1" applyAlignment="1">
      <alignment horizontal="left" vertical="center"/>
    </xf>
    <xf numFmtId="0" fontId="3" fillId="11" borderId="97" xfId="0" applyFont="1" applyFill="1" applyBorder="1" applyAlignment="1">
      <alignment horizontal="center" vertical="center"/>
    </xf>
    <xf numFmtId="0" fontId="3" fillId="11" borderId="91" xfId="0" applyFont="1" applyFill="1" applyBorder="1" applyAlignment="1">
      <alignment horizontal="center" vertical="center"/>
    </xf>
    <xf numFmtId="0" fontId="2" fillId="0" borderId="98" xfId="0" applyFont="1" applyBorder="1" applyAlignment="1">
      <alignment horizontal="left" vertical="center" wrapText="1"/>
    </xf>
    <xf numFmtId="0" fontId="2" fillId="2" borderId="90" xfId="0" applyFont="1" applyFill="1" applyBorder="1" applyAlignment="1">
      <alignment horizontal="center" vertical="center"/>
    </xf>
    <xf numFmtId="0" fontId="2" fillId="2" borderId="93" xfId="0" applyFont="1" applyFill="1" applyBorder="1" applyAlignment="1">
      <alignment horizontal="center" vertical="center"/>
    </xf>
    <xf numFmtId="0" fontId="2" fillId="2" borderId="94" xfId="0" applyFont="1" applyFill="1" applyBorder="1" applyAlignment="1">
      <alignment horizontal="center" vertical="center"/>
    </xf>
    <xf numFmtId="0" fontId="2" fillId="11" borderId="97" xfId="0" applyFont="1" applyFill="1" applyBorder="1" applyAlignment="1">
      <alignment horizontal="center" vertical="center"/>
    </xf>
    <xf numFmtId="0" fontId="2" fillId="11" borderId="98" xfId="0" applyFont="1" applyFill="1" applyBorder="1" applyAlignment="1">
      <alignment horizontal="center" vertical="center"/>
    </xf>
    <xf numFmtId="0" fontId="2" fillId="11" borderId="99" xfId="0" applyFont="1" applyFill="1" applyBorder="1" applyAlignment="1">
      <alignment horizontal="center" vertical="center"/>
    </xf>
    <xf numFmtId="0" fontId="2" fillId="28" borderId="3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0"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8" borderId="87" xfId="0" applyFont="1" applyFill="1" applyBorder="1" applyAlignment="1">
      <alignment horizontal="right" vertical="center"/>
    </xf>
    <xf numFmtId="0" fontId="2" fillId="28" borderId="88" xfId="0" applyFont="1" applyFill="1" applyBorder="1" applyAlignment="1">
      <alignment horizontal="right" vertical="center"/>
    </xf>
    <xf numFmtId="0" fontId="2" fillId="28" borderId="89" xfId="0" applyFont="1" applyFill="1" applyBorder="1" applyAlignment="1">
      <alignment horizontal="right" vertical="center"/>
    </xf>
    <xf numFmtId="0" fontId="17" fillId="6" borderId="50" xfId="0" applyFont="1" applyFill="1" applyBorder="1" applyAlignment="1" applyProtection="1">
      <alignment horizontal="center" vertical="center"/>
      <protection locked="0"/>
    </xf>
    <xf numFmtId="0" fontId="17" fillId="6" borderId="51" xfId="0" applyFont="1" applyFill="1" applyBorder="1" applyAlignment="1" applyProtection="1">
      <alignment horizontal="center" vertical="center"/>
      <protection locked="0"/>
    </xf>
    <xf numFmtId="0" fontId="17" fillId="32" borderId="50" xfId="0" applyFont="1" applyFill="1" applyBorder="1" applyAlignment="1" applyProtection="1">
      <alignment horizontal="center" vertical="center"/>
      <protection locked="0"/>
    </xf>
    <xf numFmtId="0" fontId="17" fillId="32" borderId="51" xfId="0" applyFont="1" applyFill="1" applyBorder="1" applyAlignment="1" applyProtection="1">
      <alignment horizontal="center" vertical="center"/>
      <protection locked="0"/>
    </xf>
    <xf numFmtId="0" fontId="17" fillId="33" borderId="52" xfId="0" applyFont="1" applyFill="1" applyBorder="1" applyAlignment="1" applyProtection="1">
      <alignment horizontal="right" vertical="center" indent="1"/>
      <protection locked="0"/>
    </xf>
    <xf numFmtId="0" fontId="17" fillId="33" borderId="18" xfId="0" applyFont="1" applyFill="1" applyBorder="1" applyAlignment="1" applyProtection="1">
      <alignment horizontal="right" vertical="center" indent="1"/>
      <protection locked="0"/>
    </xf>
    <xf numFmtId="0" fontId="17" fillId="33" borderId="13" xfId="0" applyFont="1" applyFill="1" applyBorder="1" applyAlignment="1" applyProtection="1">
      <alignment horizontal="right" vertical="center" indent="1"/>
      <protection locked="0"/>
    </xf>
    <xf numFmtId="0" fontId="17" fillId="33" borderId="53" xfId="0" applyFont="1" applyFill="1" applyBorder="1" applyAlignment="1" applyProtection="1">
      <alignment horizontal="right" vertical="center" indent="1"/>
      <protection locked="0"/>
    </xf>
    <xf numFmtId="0" fontId="16" fillId="6" borderId="53" xfId="0" applyFont="1" applyFill="1" applyBorder="1" applyAlignment="1" applyProtection="1">
      <alignment horizontal="left" vertical="center" indent="1"/>
      <protection locked="0"/>
    </xf>
    <xf numFmtId="0" fontId="16" fillId="6" borderId="54" xfId="0" applyFont="1" applyFill="1" applyBorder="1" applyAlignment="1" applyProtection="1">
      <alignment horizontal="left" vertical="center" indent="1"/>
      <protection locked="0"/>
    </xf>
    <xf numFmtId="0" fontId="16" fillId="6" borderId="59" xfId="0" applyFont="1" applyFill="1" applyBorder="1" applyAlignment="1" applyProtection="1">
      <alignment horizontal="left" vertical="center" indent="1"/>
      <protection locked="0"/>
    </xf>
    <xf numFmtId="0" fontId="18" fillId="35" borderId="57" xfId="0" applyFont="1" applyFill="1" applyBorder="1" applyAlignment="1" applyProtection="1">
      <alignment horizontal="left" vertical="center" indent="1"/>
      <protection locked="0"/>
    </xf>
    <xf numFmtId="0" fontId="18" fillId="35" borderId="60" xfId="0" applyFont="1" applyFill="1" applyBorder="1" applyAlignment="1" applyProtection="1">
      <alignment horizontal="left" vertical="center" indent="1"/>
      <protection locked="0"/>
    </xf>
    <xf numFmtId="0" fontId="18" fillId="35" borderId="44" xfId="0" applyFont="1" applyFill="1" applyBorder="1" applyAlignment="1" applyProtection="1">
      <alignment horizontal="left" vertical="center" indent="1"/>
      <protection locked="0"/>
    </xf>
    <xf numFmtId="0" fontId="17" fillId="33" borderId="55" xfId="0" applyFont="1" applyFill="1" applyBorder="1" applyAlignment="1" applyProtection="1">
      <alignment horizontal="right" vertical="center" indent="1"/>
      <protection locked="0"/>
    </xf>
    <xf numFmtId="0" fontId="17" fillId="33" borderId="14" xfId="0" applyFont="1" applyFill="1" applyBorder="1" applyAlignment="1" applyProtection="1">
      <alignment horizontal="right" vertical="center" indent="1"/>
      <protection locked="0"/>
    </xf>
    <xf numFmtId="0" fontId="21" fillId="8" borderId="9" xfId="0" applyFont="1" applyFill="1" applyBorder="1" applyAlignment="1" applyProtection="1">
      <alignment horizontal="center" vertical="center"/>
      <protection locked="0"/>
    </xf>
    <xf numFmtId="0" fontId="21" fillId="8" borderId="7" xfId="0" applyFont="1" applyFill="1" applyBorder="1" applyAlignment="1" applyProtection="1">
      <alignment horizontal="center" vertical="center"/>
      <protection locked="0"/>
    </xf>
    <xf numFmtId="0" fontId="22" fillId="8" borderId="56" xfId="0" applyFont="1" applyFill="1" applyBorder="1" applyAlignment="1">
      <alignment horizontal="right" vertical="center" wrapText="1"/>
    </xf>
    <xf numFmtId="0" fontId="22" fillId="8" borderId="53" xfId="0" applyFont="1" applyFill="1" applyBorder="1" applyAlignment="1">
      <alignment horizontal="right" vertical="center"/>
    </xf>
    <xf numFmtId="0" fontId="18" fillId="13" borderId="26" xfId="0" applyFont="1" applyFill="1" applyBorder="1" applyAlignment="1" applyProtection="1">
      <alignment horizontal="left" vertical="center" indent="1"/>
      <protection locked="0"/>
    </xf>
    <xf numFmtId="0" fontId="18" fillId="13" borderId="25" xfId="0" applyFont="1" applyFill="1" applyBorder="1" applyAlignment="1" applyProtection="1">
      <alignment horizontal="left" vertical="center" indent="1"/>
      <protection locked="0"/>
    </xf>
    <xf numFmtId="0" fontId="12" fillId="16" borderId="52" xfId="0" applyFont="1" applyFill="1" applyBorder="1" applyAlignment="1">
      <alignment horizontal="left" vertical="center" wrapText="1" indent="1"/>
    </xf>
    <xf numFmtId="0" fontId="12" fillId="16" borderId="47" xfId="0" applyFont="1" applyFill="1" applyBorder="1" applyAlignment="1">
      <alignment horizontal="left" vertical="center" wrapText="1" indent="1"/>
    </xf>
    <xf numFmtId="0" fontId="31" fillId="0" borderId="0" xfId="0" applyFont="1" applyAlignment="1">
      <alignment horizontal="center" vertical="center" wrapText="1"/>
    </xf>
    <xf numFmtId="0" fontId="38" fillId="0" borderId="0" xfId="0" applyFont="1"/>
    <xf numFmtId="0" fontId="38"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vertical="center" wrapText="1"/>
    </xf>
    <xf numFmtId="0" fontId="30" fillId="29" borderId="0" xfId="0" applyFont="1" applyFill="1" applyAlignment="1">
      <alignment vertical="center" wrapText="1"/>
    </xf>
    <xf numFmtId="0" fontId="31" fillId="47" borderId="0" xfId="0" applyFont="1" applyFill="1" applyAlignment="1">
      <alignment horizontal="center" vertical="center"/>
    </xf>
    <xf numFmtId="0" fontId="38" fillId="47" borderId="0" xfId="0" applyFont="1" applyFill="1" applyAlignment="1">
      <alignment horizontal="center" vertical="center" wrapText="1"/>
    </xf>
    <xf numFmtId="0" fontId="39" fillId="0" borderId="0" xfId="0" applyFont="1" applyAlignment="1">
      <alignment horizontal="left" vertical="center" wrapText="1"/>
    </xf>
    <xf numFmtId="176" fontId="28" fillId="16" borderId="0" xfId="0" applyNumberFormat="1" applyFont="1" applyFill="1" applyAlignment="1" applyProtection="1">
      <alignment horizontal="center" vertical="top" wrapText="1"/>
    </xf>
    <xf numFmtId="0" fontId="28" fillId="16" borderId="0" xfId="0" applyFont="1" applyFill="1" applyAlignment="1" applyProtection="1">
      <alignment horizontal="center" vertical="top" wrapText="1"/>
    </xf>
    <xf numFmtId="0" fontId="28" fillId="16" borderId="4" xfId="0" applyFont="1" applyFill="1" applyBorder="1" applyAlignment="1" applyProtection="1">
      <alignment horizontal="center" vertical="top" wrapText="1"/>
    </xf>
  </cellXfs>
  <cellStyles count="4">
    <cellStyle name="パーセント" xfId="3" builtinId="5"/>
    <cellStyle name="リンク セル" xfId="1" builtinId="24"/>
    <cellStyle name="標準" xfId="0" builtinId="0"/>
    <cellStyle name="標準 2" xfId="2" xr:uid="{00000000-0005-0000-0000-000005000000}"/>
  </cellStyles>
  <dxfs count="11">
    <dxf>
      <fill>
        <gradientFill degree="90">
          <stop position="0">
            <color theme="0"/>
          </stop>
          <stop position="1">
            <color rgb="FFFCA2A2"/>
          </stop>
        </gradientFill>
      </fill>
    </dxf>
    <dxf>
      <fill>
        <gradientFill degree="90">
          <stop position="0">
            <color theme="0"/>
          </stop>
          <stop position="1">
            <color rgb="FFFFB7C6"/>
          </stop>
        </gradientFill>
      </fill>
    </dxf>
    <dxf>
      <fill>
        <gradientFill degree="90">
          <stop position="0">
            <color theme="0"/>
          </stop>
          <stop position="1">
            <color rgb="FFFEE7FF"/>
          </stop>
        </gradientFill>
      </fill>
    </dxf>
    <dxf>
      <fill>
        <gradientFill degree="90">
          <stop position="0">
            <color theme="0"/>
          </stop>
          <stop position="1">
            <color theme="7" tint="0.80001220740379042"/>
          </stop>
        </gradientFill>
      </fill>
    </dxf>
    <dxf>
      <fill>
        <gradientFill degree="90">
          <stop position="0">
            <color theme="0"/>
          </stop>
          <stop position="1">
            <color theme="4" tint="0.80001220740379042"/>
          </stop>
        </gradientFill>
      </fill>
    </dxf>
    <dxf>
      <fill>
        <gradientFill degree="90">
          <stop position="0">
            <color theme="0"/>
          </stop>
          <stop position="1">
            <color theme="4" tint="0.59999389629810485"/>
          </stop>
        </gradientFill>
      </fill>
    </dxf>
    <dxf>
      <fill>
        <gradientFill degree="90">
          <stop position="0">
            <color theme="0"/>
          </stop>
          <stop position="1">
            <color theme="4" tint="0.40000610370189521"/>
          </stop>
        </gradientFill>
      </fill>
    </dxf>
    <dxf>
      <fill>
        <patternFill patternType="lightUp">
          <fgColor rgb="FFFCA2A2"/>
          <bgColor auto="1"/>
        </patternFill>
      </fill>
    </dxf>
    <dxf>
      <fill>
        <patternFill patternType="lightUp">
          <fgColor theme="5" tint="0.59996337778862885"/>
          <bgColor auto="1"/>
        </patternFill>
      </fill>
    </dxf>
    <dxf>
      <fill>
        <patternFill patternType="lightUp">
          <fgColor theme="7" tint="0.79998168889431442"/>
          <bgColor auto="1"/>
        </patternFill>
      </fill>
    </dxf>
    <dxf>
      <fill>
        <patternFill patternType="lightUp">
          <fgColor theme="4" tint="0.59996337778862885"/>
          <bgColor auto="1"/>
        </patternFill>
      </fill>
    </dxf>
  </dxfs>
  <tableStyles count="0" defaultTableStyle="TableStyleMedium2" defaultPivotStyle="PivotStyleLight16"/>
  <colors>
    <mruColors>
      <color rgb="FFFFCCCC"/>
      <color rgb="FFFEE7FF"/>
      <color rgb="FFFCA2A2"/>
      <color rgb="FF002060"/>
      <color rgb="FF004C22"/>
      <color rgb="FF003E1C"/>
      <color rgb="FFE1EAFF"/>
      <color rgb="FFE9EDFD"/>
      <color rgb="FFFFB7C6"/>
      <color rgb="FFFE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104;&#20998;&#3492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2207;&#21512;&#35413;&#2038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4317-01F4-41C9-8E23-A1E086BFF3C3}">
  <sheetPr>
    <pageSetUpPr fitToPage="1"/>
  </sheetPr>
  <dimension ref="A1:AI47"/>
  <sheetViews>
    <sheetView showGridLines="0" tabSelected="1" zoomScale="85" zoomScaleNormal="85" workbookViewId="0">
      <selection activeCell="O10" sqref="O10"/>
    </sheetView>
  </sheetViews>
  <sheetFormatPr defaultColWidth="11.375" defaultRowHeight="22.5" customHeight="1" x14ac:dyDescent="0.15"/>
  <cols>
    <col min="1" max="1" width="2.5" style="392" customWidth="1"/>
    <col min="2" max="3" width="10.625" style="393" customWidth="1"/>
    <col min="4" max="4" width="11.625" style="392" customWidth="1"/>
    <col min="5" max="5" width="9.625" style="392" customWidth="1"/>
    <col min="6" max="7" width="10.5" style="392" customWidth="1"/>
    <col min="8" max="8" width="9" style="392" customWidth="1"/>
    <col min="9" max="9" width="5.125" style="392" customWidth="1"/>
    <col min="10" max="10" width="13.625" style="392" customWidth="1"/>
    <col min="11" max="11" width="6" style="392" customWidth="1"/>
    <col min="12" max="12" width="10.75" style="392" customWidth="1"/>
    <col min="13" max="13" width="10" style="392" customWidth="1"/>
    <col min="14" max="14" width="9.75" style="395" customWidth="1"/>
    <col min="15" max="15" width="11.875" style="394" customWidth="1"/>
    <col min="16" max="16" width="11.625" style="394" hidden="1" customWidth="1"/>
    <col min="17" max="18" width="11.625" style="394" customWidth="1"/>
    <col min="19" max="19" width="7.625" style="394" customWidth="1"/>
    <col min="20" max="20" width="10.75" style="394" customWidth="1"/>
    <col min="21" max="21" width="10" style="394" customWidth="1"/>
    <col min="22" max="22" width="9.875" style="394" customWidth="1"/>
    <col min="23" max="23" width="11.875" style="394" customWidth="1"/>
    <col min="24" max="24" width="8.875" style="394" hidden="1" customWidth="1"/>
    <col min="25" max="26" width="11.625" style="394" customWidth="1"/>
    <col min="27" max="27" width="11.375" style="392"/>
    <col min="28" max="28" width="25" style="393" bestFit="1" customWidth="1"/>
    <col min="29" max="29" width="23.5" style="392" bestFit="1" customWidth="1"/>
    <col min="30" max="30" width="22.75" style="427" bestFit="1" customWidth="1"/>
    <col min="31" max="31" width="18.875" style="428" bestFit="1" customWidth="1"/>
    <col min="32" max="33" width="13.25" style="392" customWidth="1"/>
    <col min="34" max="34" width="20.875" style="392" bestFit="1" customWidth="1"/>
    <col min="35" max="35" width="29.5" style="392" bestFit="1" customWidth="1"/>
    <col min="36" max="16384" width="11.375" style="392"/>
  </cols>
  <sheetData>
    <row r="1" spans="2:35" ht="115.5" customHeight="1" thickBot="1" x14ac:dyDescent="0.2">
      <c r="B1" s="875" t="s">
        <v>604</v>
      </c>
      <c r="C1" s="875"/>
      <c r="D1" s="875"/>
      <c r="E1" s="875"/>
      <c r="F1" s="875"/>
      <c r="G1" s="875"/>
      <c r="H1" s="875"/>
      <c r="I1" s="875"/>
      <c r="J1" s="875"/>
      <c r="K1" s="545"/>
      <c r="L1" s="876" t="s">
        <v>635</v>
      </c>
      <c r="M1" s="877"/>
      <c r="N1" s="862" t="s">
        <v>634</v>
      </c>
      <c r="O1" s="863"/>
      <c r="P1" s="670"/>
      <c r="Q1" s="864" t="s">
        <v>636</v>
      </c>
      <c r="R1" s="865"/>
      <c r="S1" s="392"/>
      <c r="T1" s="873" t="s">
        <v>600</v>
      </c>
      <c r="U1" s="874"/>
      <c r="V1" s="874"/>
      <c r="W1" s="874"/>
      <c r="X1" s="874"/>
      <c r="Y1" s="874"/>
      <c r="Z1" s="874"/>
      <c r="AB1" s="866" t="s">
        <v>599</v>
      </c>
      <c r="AC1" s="867"/>
      <c r="AD1" s="868"/>
    </row>
    <row r="2" spans="2:35" ht="10.5" customHeight="1" x14ac:dyDescent="0.15">
      <c r="K2" s="410"/>
      <c r="L2" s="410"/>
      <c r="M2" s="410"/>
      <c r="N2" s="425"/>
      <c r="AC2" s="426"/>
      <c r="AF2" s="426"/>
      <c r="AG2" s="426"/>
      <c r="AH2" s="426"/>
      <c r="AI2" s="426"/>
    </row>
    <row r="3" spans="2:35" ht="10.5" customHeight="1" thickBot="1" x14ac:dyDescent="0.2">
      <c r="K3" s="410"/>
      <c r="L3" s="410"/>
      <c r="M3" s="410"/>
      <c r="N3" s="425"/>
      <c r="AC3" s="426"/>
      <c r="AF3" s="426"/>
      <c r="AG3" s="426"/>
      <c r="AH3" s="426"/>
      <c r="AI3" s="426"/>
    </row>
    <row r="4" spans="2:35" ht="26.25" customHeight="1" thickBot="1" x14ac:dyDescent="0.2">
      <c r="B4" s="561" t="s">
        <v>541</v>
      </c>
      <c r="C4" s="674" t="s">
        <v>590</v>
      </c>
      <c r="D4" s="674"/>
      <c r="E4" s="674"/>
      <c r="F4" s="674"/>
      <c r="G4" s="674"/>
      <c r="H4" s="674"/>
      <c r="I4" s="674"/>
      <c r="J4" s="675"/>
      <c r="K4" s="410"/>
      <c r="L4" s="676" t="s">
        <v>292</v>
      </c>
      <c r="M4" s="677"/>
      <c r="N4" s="677"/>
      <c r="O4" s="562" t="s">
        <v>4</v>
      </c>
      <c r="P4" s="563" t="s">
        <v>5</v>
      </c>
      <c r="Q4" s="562" t="s">
        <v>5</v>
      </c>
      <c r="R4" s="564" t="s">
        <v>6</v>
      </c>
      <c r="S4" s="433"/>
      <c r="T4" s="678" t="s">
        <v>293</v>
      </c>
      <c r="U4" s="679"/>
      <c r="V4" s="680"/>
      <c r="W4" s="565" t="s">
        <v>4</v>
      </c>
      <c r="X4" s="566" t="s">
        <v>5</v>
      </c>
      <c r="Y4" s="562" t="s">
        <v>5</v>
      </c>
      <c r="Z4" s="564" t="s">
        <v>6</v>
      </c>
      <c r="AB4" s="658"/>
      <c r="AC4" s="659" t="s">
        <v>494</v>
      </c>
      <c r="AD4" s="661" t="s">
        <v>495</v>
      </c>
      <c r="AF4" s="428"/>
      <c r="AG4" s="428"/>
      <c r="AH4" s="428"/>
      <c r="AI4" s="428"/>
    </row>
    <row r="5" spans="2:35" ht="22.5" customHeight="1" thickTop="1" thickBot="1" x14ac:dyDescent="0.2">
      <c r="B5" s="567" t="s">
        <v>539</v>
      </c>
      <c r="C5" s="681" t="s">
        <v>591</v>
      </c>
      <c r="D5" s="682"/>
      <c r="E5" s="568" t="s">
        <v>540</v>
      </c>
      <c r="F5" s="683" t="s">
        <v>474</v>
      </c>
      <c r="G5" s="682"/>
      <c r="H5" s="569" t="s">
        <v>522</v>
      </c>
      <c r="I5" s="684">
        <v>45854</v>
      </c>
      <c r="J5" s="685"/>
      <c r="K5" s="442"/>
      <c r="L5" s="686" t="s">
        <v>580</v>
      </c>
      <c r="M5" s="687"/>
      <c r="N5" s="570" t="s">
        <v>583</v>
      </c>
      <c r="O5" s="612">
        <v>0</v>
      </c>
      <c r="P5" s="571">
        <f>IF(O5="","",SUM(O5/1.0079*1))</f>
        <v>0</v>
      </c>
      <c r="Q5" s="628">
        <f>IF(P5="","",ROUND(P5,2))</f>
        <v>0</v>
      </c>
      <c r="R5" s="629">
        <f>IF(O5="","",Q5/$Q$20*100)</f>
        <v>0</v>
      </c>
      <c r="S5" s="433"/>
      <c r="T5" s="688" t="s">
        <v>568</v>
      </c>
      <c r="U5" s="689"/>
      <c r="V5" s="572" t="s">
        <v>457</v>
      </c>
      <c r="W5" s="615">
        <v>1.3</v>
      </c>
      <c r="X5" s="573">
        <f>IF(W5="","",SUM(W5/18.998403*1))</f>
        <v>6.8426804084532791E-2</v>
      </c>
      <c r="Y5" s="628">
        <f>IF(X5="","",ROUND(X5,2))</f>
        <v>7.0000000000000007E-2</v>
      </c>
      <c r="Z5" s="632">
        <f>IF(Y5="","",Y5/$Y$22*100)</f>
        <v>2.5539988324576771E-2</v>
      </c>
      <c r="AB5" s="658"/>
      <c r="AC5" s="658"/>
      <c r="AD5" s="661">
        <f>AC11 + AC12</f>
        <v>1.9421829140643343</v>
      </c>
      <c r="AE5" s="450"/>
      <c r="AF5" s="393"/>
      <c r="AG5" s="393"/>
      <c r="AH5" s="393"/>
      <c r="AI5" s="393"/>
    </row>
    <row r="6" spans="2:35" ht="22.5" customHeight="1" x14ac:dyDescent="0.15">
      <c r="B6" s="701" t="s">
        <v>514</v>
      </c>
      <c r="C6" s="702"/>
      <c r="D6" s="703" t="s">
        <v>597</v>
      </c>
      <c r="E6" s="703"/>
      <c r="F6" s="703"/>
      <c r="G6" s="703"/>
      <c r="H6" s="703"/>
      <c r="I6" s="703"/>
      <c r="J6" s="704"/>
      <c r="K6" s="411"/>
      <c r="L6" s="705" t="s">
        <v>7</v>
      </c>
      <c r="M6" s="706"/>
      <c r="N6" s="574" t="s">
        <v>444</v>
      </c>
      <c r="O6" s="613">
        <v>1.7</v>
      </c>
      <c r="P6" s="575">
        <f>IF(O6="","",SUM(O6/6.941*1))</f>
        <v>0.2449214810546031</v>
      </c>
      <c r="Q6" s="628">
        <f>IF(P6="","",ROUND(P6,2))</f>
        <v>0.24</v>
      </c>
      <c r="R6" s="629">
        <f t="shared" ref="R6:R19" si="0">IF(O6="","",Q6/$Q$20*100)</f>
        <v>8.7789889531055654E-2</v>
      </c>
      <c r="S6" s="454"/>
      <c r="T6" s="707" t="s">
        <v>10</v>
      </c>
      <c r="U6" s="708"/>
      <c r="V6" s="576" t="s">
        <v>458</v>
      </c>
      <c r="W6" s="616">
        <v>6093</v>
      </c>
      <c r="X6" s="573">
        <f>IF(W6="","",SUM(W6/35.453*1))</f>
        <v>171.86133754548274</v>
      </c>
      <c r="Y6" s="628">
        <f t="shared" ref="Y6:Y20" si="1">IF(X6="","",ROUND(X6,2))</f>
        <v>171.86</v>
      </c>
      <c r="Z6" s="632">
        <f t="shared" ref="Z6:Z21" si="2">IF(Y6="","",Y6/$Y$22*100)</f>
        <v>62.704319906596616</v>
      </c>
      <c r="AB6" s="658" t="s">
        <v>519</v>
      </c>
      <c r="AC6" s="660">
        <v>0</v>
      </c>
      <c r="AG6" s="393"/>
      <c r="AH6" s="393"/>
      <c r="AI6" s="393" t="s">
        <v>500</v>
      </c>
    </row>
    <row r="7" spans="2:35" ht="22.5" customHeight="1" thickBot="1" x14ac:dyDescent="0.2">
      <c r="B7" s="701"/>
      <c r="C7" s="702"/>
      <c r="D7" s="709" t="str">
        <f>W26&amp;J8&amp;F8</f>
        <v>高張性中性高温泉</v>
      </c>
      <c r="E7" s="710"/>
      <c r="F7" s="710"/>
      <c r="G7" s="710"/>
      <c r="H7" s="710"/>
      <c r="I7" s="710"/>
      <c r="J7" s="711"/>
      <c r="L7" s="693" t="s">
        <v>9</v>
      </c>
      <c r="M7" s="694"/>
      <c r="N7" s="577" t="s">
        <v>445</v>
      </c>
      <c r="O7" s="613">
        <v>6109</v>
      </c>
      <c r="P7" s="575">
        <f>IF(O7="","",SUM(O7/22.98977*1))</f>
        <v>265.72688634988521</v>
      </c>
      <c r="Q7" s="628">
        <f>IF(P7="","",ROUND(P7,2))</f>
        <v>265.73</v>
      </c>
      <c r="R7" s="629">
        <f t="shared" si="0"/>
        <v>97.201697271197588</v>
      </c>
      <c r="S7" s="460"/>
      <c r="T7" s="699" t="s">
        <v>12</v>
      </c>
      <c r="U7" s="700"/>
      <c r="V7" s="578" t="s">
        <v>459</v>
      </c>
      <c r="W7" s="615"/>
      <c r="X7" s="573" t="str">
        <f>IF(W7="","",SUM(W7/79.904*1))</f>
        <v/>
      </c>
      <c r="Y7" s="628" t="str">
        <f t="shared" si="1"/>
        <v/>
      </c>
      <c r="Z7" s="632" t="str">
        <f t="shared" si="2"/>
        <v/>
      </c>
      <c r="AB7" s="661" t="s">
        <v>502</v>
      </c>
      <c r="AC7" s="662">
        <v>0.2449214810546031</v>
      </c>
      <c r="AD7" s="661" t="s">
        <v>496</v>
      </c>
      <c r="AF7" s="393"/>
      <c r="AG7" s="393"/>
      <c r="AH7" s="393"/>
      <c r="AI7" s="393"/>
    </row>
    <row r="8" spans="2:35" ht="22.5" customHeight="1" thickBot="1" x14ac:dyDescent="0.2">
      <c r="B8" s="690" t="s">
        <v>523</v>
      </c>
      <c r="C8" s="691"/>
      <c r="D8" s="609">
        <v>70.2</v>
      </c>
      <c r="E8" s="579" t="s">
        <v>476</v>
      </c>
      <c r="F8" s="641" t="str">
        <f>IF(D8&gt;=42,"高温泉",IF(D8&gt;=34,"温泉",IF(D8&gt;=25,"低温泉","冷鉱泉")))</f>
        <v>高温泉</v>
      </c>
      <c r="G8" s="465" t="s">
        <v>521</v>
      </c>
      <c r="H8" s="692">
        <v>7.3</v>
      </c>
      <c r="I8" s="692"/>
      <c r="J8" s="642" t="str">
        <f>IF(H8="","",IF(H8&lt;2.1, "強酸性",
 IF(H8&lt;3.1, "酸性",
 IF(H8&lt;6.1, "弱酸性",
 IF(H8&lt;7.5, "中性",
 IF(H8&lt;8.5, "弱アルカリ性",
 IF(H8&lt;10, "アルカリ性", "強アルカリ性")))))))</f>
        <v>中性</v>
      </c>
      <c r="L8" s="693" t="s">
        <v>11</v>
      </c>
      <c r="M8" s="694"/>
      <c r="N8" s="574" t="s">
        <v>446</v>
      </c>
      <c r="O8" s="613">
        <v>96.6</v>
      </c>
      <c r="P8" s="575">
        <f>IF(O8="","",SUM(O8/39.0983*1))</f>
        <v>2.4706956568444149</v>
      </c>
      <c r="Q8" s="628">
        <f t="shared" ref="Q8:Q19" si="3">IF(P8="","",ROUND(P8,2))</f>
        <v>2.4700000000000002</v>
      </c>
      <c r="R8" s="629">
        <f t="shared" si="0"/>
        <v>0.90350427975711445</v>
      </c>
      <c r="S8" s="467"/>
      <c r="T8" s="695" t="s">
        <v>581</v>
      </c>
      <c r="U8" s="696"/>
      <c r="V8" s="580" t="s">
        <v>582</v>
      </c>
      <c r="W8" s="616">
        <v>4.8</v>
      </c>
      <c r="X8" s="573">
        <f>IF(W8="","",SUM(W8/126.9045*1))</f>
        <v>3.7823717835064948E-2</v>
      </c>
      <c r="Y8" s="628">
        <f t="shared" si="1"/>
        <v>0.04</v>
      </c>
      <c r="Z8" s="632">
        <f t="shared" si="2"/>
        <v>1.4594279042615295E-2</v>
      </c>
      <c r="AB8" s="661" t="s">
        <v>503</v>
      </c>
      <c r="AC8" s="662">
        <v>265.72688634988521</v>
      </c>
      <c r="AD8" s="661">
        <f>AC10 + AC13 + AC20 + AC21</f>
        <v>0.50383380311418968</v>
      </c>
      <c r="AF8" s="393"/>
      <c r="AG8" s="393"/>
      <c r="AH8" s="393"/>
      <c r="AI8" s="393"/>
    </row>
    <row r="9" spans="2:35" ht="22.5" customHeight="1" thickBot="1" x14ac:dyDescent="0.2">
      <c r="B9" s="469"/>
      <c r="C9" s="470"/>
      <c r="D9" s="470"/>
      <c r="E9" s="469"/>
      <c r="F9" s="469"/>
      <c r="G9" s="469"/>
      <c r="H9" s="471"/>
      <c r="I9" s="471"/>
      <c r="J9" s="472"/>
      <c r="L9" s="697" t="s">
        <v>13</v>
      </c>
      <c r="M9" s="698"/>
      <c r="N9" s="574" t="s">
        <v>447</v>
      </c>
      <c r="O9" s="613">
        <v>18.8</v>
      </c>
      <c r="P9" s="575">
        <f>IF(O9="","",SUM(O9/18.0383*1))</f>
        <v>1.0422268173830129</v>
      </c>
      <c r="Q9" s="628">
        <f t="shared" si="3"/>
        <v>1.04</v>
      </c>
      <c r="R9" s="629">
        <f t="shared" si="0"/>
        <v>0.38042285463457454</v>
      </c>
      <c r="S9" s="460"/>
      <c r="T9" s="699" t="s">
        <v>15</v>
      </c>
      <c r="U9" s="700"/>
      <c r="V9" s="578" t="s">
        <v>460</v>
      </c>
      <c r="W9" s="615"/>
      <c r="X9" s="573" t="str">
        <f>IF(W9="","",SUM(W9/17.0073*1))</f>
        <v/>
      </c>
      <c r="Y9" s="628" t="str">
        <f t="shared" si="1"/>
        <v/>
      </c>
      <c r="Z9" s="632" t="str">
        <f t="shared" si="2"/>
        <v/>
      </c>
      <c r="AB9" s="661" t="s">
        <v>504</v>
      </c>
      <c r="AC9" s="662">
        <v>2.4706956568444149</v>
      </c>
      <c r="AF9" s="393"/>
      <c r="AG9" s="393"/>
      <c r="AH9" s="393"/>
      <c r="AI9" s="393"/>
    </row>
    <row r="10" spans="2:35" ht="22.5" customHeight="1" thickBot="1" x14ac:dyDescent="0.2">
      <c r="B10" s="720" t="s">
        <v>468</v>
      </c>
      <c r="C10" s="721"/>
      <c r="D10" s="722"/>
      <c r="E10" s="723"/>
      <c r="F10" s="724" t="s">
        <v>467</v>
      </c>
      <c r="G10" s="724"/>
      <c r="H10" s="725"/>
      <c r="I10" s="726"/>
      <c r="J10" s="581" t="s">
        <v>553</v>
      </c>
      <c r="K10" s="475"/>
      <c r="L10" s="697" t="s">
        <v>14</v>
      </c>
      <c r="M10" s="698"/>
      <c r="N10" s="574" t="s">
        <v>448</v>
      </c>
      <c r="O10" s="613">
        <v>20.399999999999999</v>
      </c>
      <c r="P10" s="575">
        <f>IF(O10="","",SUM(O10/24.305*2))</f>
        <v>1.6786669409586503</v>
      </c>
      <c r="Q10" s="628">
        <f t="shared" si="3"/>
        <v>1.68</v>
      </c>
      <c r="R10" s="629">
        <f t="shared" si="0"/>
        <v>0.61452922671738963</v>
      </c>
      <c r="S10" s="467"/>
      <c r="T10" s="714" t="s">
        <v>18</v>
      </c>
      <c r="U10" s="715"/>
      <c r="V10" s="582" t="s">
        <v>575</v>
      </c>
      <c r="W10" s="616">
        <v>0</v>
      </c>
      <c r="X10" s="573">
        <f>IF(W10="","",SUM(W10/33.0679*1))</f>
        <v>0</v>
      </c>
      <c r="Y10" s="628">
        <f>IF(X10="","",ROUND(X10,2))</f>
        <v>0</v>
      </c>
      <c r="Z10" s="632">
        <f t="shared" si="2"/>
        <v>0</v>
      </c>
      <c r="AB10" s="661" t="s">
        <v>505</v>
      </c>
      <c r="AC10" s="662">
        <v>1.995262314968876E-4</v>
      </c>
      <c r="AD10" s="661" t="s">
        <v>497</v>
      </c>
      <c r="AF10" s="393"/>
      <c r="AG10" s="393"/>
      <c r="AH10" s="393"/>
      <c r="AI10" s="393"/>
    </row>
    <row r="11" spans="2:35" ht="22.5" customHeight="1" thickBot="1" x14ac:dyDescent="0.2">
      <c r="B11" s="712" t="s">
        <v>477</v>
      </c>
      <c r="C11" s="713"/>
      <c r="D11" s="606"/>
      <c r="E11" s="583" t="s">
        <v>306</v>
      </c>
      <c r="F11" s="606" t="s">
        <v>525</v>
      </c>
      <c r="G11" s="584" t="s">
        <v>305</v>
      </c>
      <c r="H11" s="585" t="s">
        <v>588</v>
      </c>
      <c r="I11" s="586"/>
      <c r="J11" s="587"/>
      <c r="K11" s="475"/>
      <c r="L11" s="693" t="s">
        <v>17</v>
      </c>
      <c r="M11" s="694"/>
      <c r="N11" s="574" t="s">
        <v>449</v>
      </c>
      <c r="O11" s="613">
        <v>44.2</v>
      </c>
      <c r="P11" s="575">
        <f>IF(O11="","",SUM(O11/40.08*2))</f>
        <v>2.2055888223552897</v>
      </c>
      <c r="Q11" s="628">
        <f t="shared" si="3"/>
        <v>2.21</v>
      </c>
      <c r="R11" s="629">
        <f t="shared" si="0"/>
        <v>0.80839856609847083</v>
      </c>
      <c r="S11" s="467"/>
      <c r="T11" s="714" t="s">
        <v>21</v>
      </c>
      <c r="U11" s="715"/>
      <c r="V11" s="582" t="s">
        <v>576</v>
      </c>
      <c r="W11" s="615">
        <v>0.4</v>
      </c>
      <c r="X11" s="573">
        <f>IF(W11="","",SUM(W11/112.1182*2))</f>
        <v>7.1353268247260487E-3</v>
      </c>
      <c r="Y11" s="628">
        <f t="shared" si="1"/>
        <v>0.01</v>
      </c>
      <c r="Z11" s="632">
        <f t="shared" si="2"/>
        <v>3.6485697606538237E-3</v>
      </c>
      <c r="AB11" s="661" t="s">
        <v>506</v>
      </c>
      <c r="AC11" s="662">
        <v>0.83933347047932516</v>
      </c>
      <c r="AD11" s="661">
        <f>AC27</f>
        <v>10.662823286973786</v>
      </c>
      <c r="AF11" s="393"/>
      <c r="AG11" s="393"/>
      <c r="AH11" s="393"/>
      <c r="AI11" s="393"/>
    </row>
    <row r="12" spans="2:35" ht="22.5" customHeight="1" thickBot="1" x14ac:dyDescent="0.2">
      <c r="B12" s="716" t="s">
        <v>16</v>
      </c>
      <c r="C12" s="717"/>
      <c r="D12" s="718"/>
      <c r="E12" s="718"/>
      <c r="F12" s="718"/>
      <c r="G12" s="718"/>
      <c r="H12" s="718"/>
      <c r="I12" s="718"/>
      <c r="J12" s="719"/>
      <c r="L12" s="697" t="s">
        <v>19</v>
      </c>
      <c r="M12" s="698"/>
      <c r="N12" s="574" t="s">
        <v>450</v>
      </c>
      <c r="O12" s="613"/>
      <c r="P12" s="575" t="str">
        <f>IF(O12="","",SUM(O12/87.62*2))</f>
        <v/>
      </c>
      <c r="Q12" s="628" t="str">
        <f t="shared" si="3"/>
        <v/>
      </c>
      <c r="R12" s="629" t="str">
        <f t="shared" si="0"/>
        <v/>
      </c>
      <c r="T12" s="699" t="s">
        <v>23</v>
      </c>
      <c r="U12" s="700"/>
      <c r="V12" s="578" t="s">
        <v>461</v>
      </c>
      <c r="W12" s="616"/>
      <c r="X12" s="573" t="str">
        <f>IF(W12="","",SUM(W12/97.0655*1))</f>
        <v/>
      </c>
      <c r="Y12" s="628" t="str">
        <f t="shared" si="1"/>
        <v/>
      </c>
      <c r="Z12" s="632" t="str">
        <f t="shared" si="2"/>
        <v/>
      </c>
      <c r="AB12" s="661" t="s">
        <v>507</v>
      </c>
      <c r="AC12" s="662">
        <v>1.1028494435850091</v>
      </c>
      <c r="AF12" s="393"/>
      <c r="AG12" s="393"/>
      <c r="AH12" s="393"/>
      <c r="AI12" s="393"/>
    </row>
    <row r="13" spans="2:35" ht="22.5" customHeight="1" x14ac:dyDescent="0.15">
      <c r="B13" s="735" t="s">
        <v>516</v>
      </c>
      <c r="C13" s="736"/>
      <c r="D13" s="736"/>
      <c r="E13" s="737" t="str">
        <f>AD20</f>
        <v>ヌルヌルする</v>
      </c>
      <c r="F13" s="738"/>
      <c r="G13" s="735" t="s">
        <v>624</v>
      </c>
      <c r="H13" s="736"/>
      <c r="I13" s="739">
        <f>IF(AD26="", "―", IF(AD26&lt;=-10, "-10以下", AD26))</f>
        <v>13.074566312570832</v>
      </c>
      <c r="J13" s="740"/>
      <c r="L13" s="693" t="s">
        <v>20</v>
      </c>
      <c r="M13" s="694"/>
      <c r="N13" s="574" t="s">
        <v>451</v>
      </c>
      <c r="O13" s="613">
        <v>0</v>
      </c>
      <c r="P13" s="575">
        <f>IF(O13="","",SUM(O13/26.98154*3))</f>
        <v>0</v>
      </c>
      <c r="Q13" s="628">
        <f t="shared" si="3"/>
        <v>0</v>
      </c>
      <c r="R13" s="629">
        <f t="shared" si="0"/>
        <v>0</v>
      </c>
      <c r="S13" s="454"/>
      <c r="T13" s="707" t="s">
        <v>25</v>
      </c>
      <c r="U13" s="708"/>
      <c r="V13" s="578" t="s">
        <v>462</v>
      </c>
      <c r="W13" s="615">
        <v>18</v>
      </c>
      <c r="X13" s="573">
        <f>IF(W13="","",SUM(W13/96.0576*2))</f>
        <v>0.37477513491904857</v>
      </c>
      <c r="Y13" s="628">
        <f t="shared" si="1"/>
        <v>0.37</v>
      </c>
      <c r="Z13" s="632">
        <f t="shared" si="2"/>
        <v>0.13499708114419148</v>
      </c>
      <c r="AB13" s="661" t="s">
        <v>508</v>
      </c>
      <c r="AC13" s="662">
        <v>0</v>
      </c>
      <c r="AD13" s="661" t="s">
        <v>498</v>
      </c>
      <c r="AF13" s="393"/>
      <c r="AG13" s="393"/>
      <c r="AH13" s="393"/>
      <c r="AI13" s="393"/>
    </row>
    <row r="14" spans="2:35" s="393" customFormat="1" ht="22.5" customHeight="1" thickBot="1" x14ac:dyDescent="0.2">
      <c r="B14" s="727" t="s">
        <v>542</v>
      </c>
      <c r="C14" s="728"/>
      <c r="D14" s="728"/>
      <c r="E14" s="729" t="str">
        <f>AD23</f>
        <v>☆：奇跡のヌルヌル</v>
      </c>
      <c r="F14" s="730"/>
      <c r="G14" s="727" t="s">
        <v>567</v>
      </c>
      <c r="H14" s="728"/>
      <c r="I14" s="731" t="s">
        <v>564</v>
      </c>
      <c r="J14" s="732"/>
      <c r="L14" s="693" t="s">
        <v>22</v>
      </c>
      <c r="M14" s="694"/>
      <c r="N14" s="574" t="s">
        <v>452</v>
      </c>
      <c r="O14" s="613"/>
      <c r="P14" s="575" t="str">
        <f>IF(O14="","",SUM(O14/ 137.33*2))</f>
        <v/>
      </c>
      <c r="Q14" s="628" t="str">
        <f t="shared" si="3"/>
        <v/>
      </c>
      <c r="R14" s="629" t="str">
        <f t="shared" si="0"/>
        <v/>
      </c>
      <c r="T14" s="733" t="s">
        <v>26</v>
      </c>
      <c r="U14" s="734"/>
      <c r="V14" s="572" t="s">
        <v>463</v>
      </c>
      <c r="W14" s="616"/>
      <c r="X14" s="573" t="str">
        <f>IF(W14="","",SUM(W14/62.005*1))</f>
        <v/>
      </c>
      <c r="Y14" s="628" t="str">
        <f t="shared" si="1"/>
        <v/>
      </c>
      <c r="Z14" s="632" t="str">
        <f t="shared" si="2"/>
        <v/>
      </c>
      <c r="AB14" s="661"/>
      <c r="AC14" s="662"/>
      <c r="AD14" s="661">
        <f>IF(OR(AD5="", AD11="", AD5=0, AD11=0), "", AD5 / (AD5 + AD11))</f>
        <v>0.15408028231706702</v>
      </c>
      <c r="AE14" s="428"/>
    </row>
    <row r="15" spans="2:35" ht="22.5" customHeight="1" thickBot="1" x14ac:dyDescent="0.2">
      <c r="B15" s="741" t="s">
        <v>586</v>
      </c>
      <c r="C15" s="741"/>
      <c r="D15" s="741"/>
      <c r="E15" s="741"/>
      <c r="F15" s="741"/>
      <c r="G15" s="741"/>
      <c r="H15" s="741"/>
      <c r="I15" s="741"/>
      <c r="J15" s="741"/>
      <c r="K15" s="484"/>
      <c r="L15" s="705" t="s">
        <v>24</v>
      </c>
      <c r="M15" s="706"/>
      <c r="N15" s="574" t="s">
        <v>453</v>
      </c>
      <c r="O15" s="613">
        <v>0</v>
      </c>
      <c r="P15" s="575">
        <f>IF(O15="","",SUM(O15/54.938*2))</f>
        <v>0</v>
      </c>
      <c r="Q15" s="628">
        <f t="shared" si="3"/>
        <v>0</v>
      </c>
      <c r="R15" s="629">
        <f t="shared" si="0"/>
        <v>0</v>
      </c>
      <c r="S15" s="454"/>
      <c r="T15" s="742" t="s">
        <v>300</v>
      </c>
      <c r="U15" s="743"/>
      <c r="V15" s="588" t="s">
        <v>512</v>
      </c>
      <c r="W15" s="615"/>
      <c r="X15" s="573" t="str">
        <f>IF(W15="","",SUM(W15/96.98716*1))</f>
        <v/>
      </c>
      <c r="Y15" s="628" t="str">
        <f t="shared" si="1"/>
        <v/>
      </c>
      <c r="Z15" s="632" t="str">
        <f t="shared" si="2"/>
        <v/>
      </c>
      <c r="AB15" s="661"/>
      <c r="AC15" s="662"/>
      <c r="AF15" s="393"/>
      <c r="AG15" s="393"/>
      <c r="AH15" s="393"/>
      <c r="AI15" s="393"/>
    </row>
    <row r="16" spans="2:35" ht="22.5" customHeight="1" x14ac:dyDescent="0.15">
      <c r="B16" s="744" t="s">
        <v>515</v>
      </c>
      <c r="C16" s="746" t="s">
        <v>543</v>
      </c>
      <c r="D16" s="746"/>
      <c r="E16" s="746"/>
      <c r="F16" s="746"/>
      <c r="G16" s="746"/>
      <c r="H16" s="746"/>
      <c r="I16" s="746"/>
      <c r="J16" s="747"/>
      <c r="K16" s="412"/>
      <c r="L16" s="693" t="s">
        <v>429</v>
      </c>
      <c r="M16" s="694"/>
      <c r="N16" s="574" t="s">
        <v>443</v>
      </c>
      <c r="O16" s="613">
        <v>0.3</v>
      </c>
      <c r="P16" s="575">
        <f>IF(O16="","",SUM(O16/55.847*2))</f>
        <v>1.0743638870485434E-2</v>
      </c>
      <c r="Q16" s="628">
        <f>IF(P16="","",ROUND(P16,2))</f>
        <v>0.01</v>
      </c>
      <c r="R16" s="629">
        <f t="shared" si="0"/>
        <v>3.6579120637939859E-3</v>
      </c>
      <c r="S16" s="460"/>
      <c r="T16" s="742" t="s">
        <v>299</v>
      </c>
      <c r="U16" s="743"/>
      <c r="V16" s="589" t="s">
        <v>511</v>
      </c>
      <c r="W16" s="616"/>
      <c r="X16" s="573" t="str">
        <f>IF(W16="","",SUM(W16/95.97926*2))</f>
        <v/>
      </c>
      <c r="Y16" s="628" t="str">
        <f t="shared" si="1"/>
        <v/>
      </c>
      <c r="Z16" s="632" t="str">
        <f t="shared" si="2"/>
        <v/>
      </c>
      <c r="AB16" s="661"/>
      <c r="AC16" s="661" t="s">
        <v>596</v>
      </c>
      <c r="AD16" s="661" t="s">
        <v>518</v>
      </c>
      <c r="AF16" s="393"/>
      <c r="AG16" s="393"/>
      <c r="AH16" s="393"/>
      <c r="AI16" s="393"/>
    </row>
    <row r="17" spans="1:35" ht="22.5" customHeight="1" thickBot="1" x14ac:dyDescent="0.2">
      <c r="B17" s="745"/>
      <c r="C17" s="748"/>
      <c r="D17" s="748"/>
      <c r="E17" s="748"/>
      <c r="F17" s="748"/>
      <c r="G17" s="748"/>
      <c r="H17" s="748"/>
      <c r="I17" s="748"/>
      <c r="J17" s="749"/>
      <c r="K17" s="487"/>
      <c r="L17" s="705" t="s">
        <v>430</v>
      </c>
      <c r="M17" s="706"/>
      <c r="N17" s="574" t="s">
        <v>550</v>
      </c>
      <c r="O17" s="613"/>
      <c r="P17" s="575" t="str">
        <f>IF(O17="","",SUM(O17/55.847*3))</f>
        <v/>
      </c>
      <c r="Q17" s="628" t="str">
        <f t="shared" si="3"/>
        <v/>
      </c>
      <c r="R17" s="629" t="str">
        <f t="shared" si="0"/>
        <v/>
      </c>
      <c r="T17" s="699" t="s">
        <v>431</v>
      </c>
      <c r="U17" s="700"/>
      <c r="V17" s="578" t="s">
        <v>464</v>
      </c>
      <c r="W17" s="615"/>
      <c r="X17" s="573" t="str">
        <f>IF(W17="","",SUM(W17/106.9204*1))</f>
        <v/>
      </c>
      <c r="Y17" s="628" t="str">
        <f t="shared" si="1"/>
        <v/>
      </c>
      <c r="Z17" s="632" t="str">
        <f t="shared" si="2"/>
        <v/>
      </c>
      <c r="AB17" s="661"/>
      <c r="AC17" s="661"/>
      <c r="AD17" s="661">
        <f>IF(OR(AD14="", ISBLANK(AD14)),
   "",
   IFERROR(0.3 * (1 - AD14) / (0.55 - 1.55 * AD14), 0)
)</f>
        <v>0.81553934807931472</v>
      </c>
      <c r="AF17" s="393"/>
      <c r="AG17" s="393"/>
      <c r="AH17" s="393"/>
      <c r="AI17" s="393"/>
    </row>
    <row r="18" spans="1:35" ht="22.5" customHeight="1" x14ac:dyDescent="0.15">
      <c r="B18" s="765" t="s">
        <v>520</v>
      </c>
      <c r="C18" s="766"/>
      <c r="D18" s="766"/>
      <c r="E18" s="766"/>
      <c r="F18" s="767"/>
      <c r="G18" s="765" t="s">
        <v>31</v>
      </c>
      <c r="H18" s="766"/>
      <c r="I18" s="766"/>
      <c r="J18" s="767"/>
      <c r="K18" s="412"/>
      <c r="L18" s="705" t="s">
        <v>27</v>
      </c>
      <c r="M18" s="706"/>
      <c r="N18" s="574" t="s">
        <v>454</v>
      </c>
      <c r="O18" s="613"/>
      <c r="P18" s="575" t="str">
        <f>IF(O18="","",SUM(O18/63.546*2))</f>
        <v/>
      </c>
      <c r="Q18" s="628" t="str">
        <f t="shared" si="3"/>
        <v/>
      </c>
      <c r="R18" s="629" t="str">
        <f t="shared" si="0"/>
        <v/>
      </c>
      <c r="S18" s="454"/>
      <c r="T18" s="707" t="s">
        <v>28</v>
      </c>
      <c r="U18" s="708"/>
      <c r="V18" s="590" t="s">
        <v>465</v>
      </c>
      <c r="W18" s="616">
        <v>6190</v>
      </c>
      <c r="X18" s="573">
        <f>IF(W18="","",SUM(W18/61.0171*1))</f>
        <v>101.44697142276509</v>
      </c>
      <c r="Y18" s="628">
        <f t="shared" si="1"/>
        <v>101.45</v>
      </c>
      <c r="Z18" s="632">
        <f t="shared" si="2"/>
        <v>37.014740221833044</v>
      </c>
      <c r="AB18" s="661"/>
      <c r="AC18" s="661"/>
      <c r="AF18" s="393"/>
      <c r="AG18" s="393"/>
      <c r="AH18" s="393"/>
      <c r="AI18" s="393"/>
    </row>
    <row r="19" spans="1:35" ht="22.5" customHeight="1" thickBot="1" x14ac:dyDescent="0.2">
      <c r="B19" s="768" t="s">
        <v>526</v>
      </c>
      <c r="C19" s="769"/>
      <c r="D19" s="769"/>
      <c r="E19" s="769"/>
      <c r="F19" s="770"/>
      <c r="G19" s="774" t="s">
        <v>32</v>
      </c>
      <c r="H19" s="775"/>
      <c r="I19" s="775"/>
      <c r="J19" s="776"/>
      <c r="K19" s="412"/>
      <c r="L19" s="780" t="s">
        <v>29</v>
      </c>
      <c r="M19" s="781"/>
      <c r="N19" s="591" t="s">
        <v>455</v>
      </c>
      <c r="O19" s="614"/>
      <c r="P19" s="592" t="str">
        <f>IF(O19="","",SUM(O19/65.38*2))</f>
        <v/>
      </c>
      <c r="Q19" s="630" t="str">
        <f t="shared" si="3"/>
        <v/>
      </c>
      <c r="R19" s="631" t="str">
        <f t="shared" si="0"/>
        <v/>
      </c>
      <c r="S19" s="433"/>
      <c r="T19" s="699" t="s">
        <v>30</v>
      </c>
      <c r="U19" s="700"/>
      <c r="V19" s="590" t="s">
        <v>466</v>
      </c>
      <c r="W19" s="615">
        <v>8.5</v>
      </c>
      <c r="X19" s="573">
        <f>IF(W19="","",SUM(W19/60.0092*2))</f>
        <v>0.28328989554934908</v>
      </c>
      <c r="Y19" s="628">
        <f t="shared" si="1"/>
        <v>0.28000000000000003</v>
      </c>
      <c r="Z19" s="632">
        <f t="shared" si="2"/>
        <v>0.10215995329830709</v>
      </c>
      <c r="AB19" s="661" t="s">
        <v>569</v>
      </c>
      <c r="AC19" s="663">
        <v>101.44880031467156</v>
      </c>
      <c r="AD19" s="661" t="s">
        <v>499</v>
      </c>
      <c r="AF19" s="393"/>
      <c r="AG19" s="393"/>
      <c r="AH19" s="393"/>
      <c r="AI19" s="393"/>
    </row>
    <row r="20" spans="1:35" ht="22.5" customHeight="1" thickBot="1" x14ac:dyDescent="0.2">
      <c r="B20" s="771"/>
      <c r="C20" s="772"/>
      <c r="D20" s="772"/>
      <c r="E20" s="772"/>
      <c r="F20" s="773"/>
      <c r="G20" s="777"/>
      <c r="H20" s="778"/>
      <c r="I20" s="778"/>
      <c r="J20" s="779"/>
      <c r="K20" s="412"/>
      <c r="L20" s="782" t="s">
        <v>33</v>
      </c>
      <c r="M20" s="783"/>
      <c r="N20" s="783"/>
      <c r="O20" s="620">
        <f>IF(SUM(O5:O19)=0, "", SUM(O5:O19))</f>
        <v>6291</v>
      </c>
      <c r="P20" s="621">
        <f>SUM(P5:P19)</f>
        <v>273.37972970735171</v>
      </c>
      <c r="Q20" s="622">
        <f>SUM(Q5:Q19)</f>
        <v>273.38000000000005</v>
      </c>
      <c r="R20" s="623">
        <f>SUM(R5:R19)</f>
        <v>100</v>
      </c>
      <c r="S20" s="433"/>
      <c r="T20" s="784" t="s">
        <v>475</v>
      </c>
      <c r="U20" s="785"/>
      <c r="V20" s="593" t="s">
        <v>513</v>
      </c>
      <c r="W20" s="616"/>
      <c r="X20" s="573" t="str">
        <f>IF(W20="","",SUM(W20/77.0916*1))</f>
        <v/>
      </c>
      <c r="Y20" s="628" t="str">
        <f t="shared" si="1"/>
        <v/>
      </c>
      <c r="Z20" s="632" t="str">
        <f t="shared" si="2"/>
        <v/>
      </c>
      <c r="AB20" s="661" t="s">
        <v>509</v>
      </c>
      <c r="AC20" s="663">
        <v>0.4997648165569144</v>
      </c>
      <c r="AD20" s="661" t="str">
        <f>IFERROR(IF(AD14&gt;0.35,"ヌルヌルしない",IF(AD11&gt;=AD17,"ヌルヌルする","ヌルヌルしない")),"成分を入力してください")</f>
        <v>ヌルヌルする</v>
      </c>
      <c r="AF20" s="393"/>
      <c r="AG20" s="393"/>
      <c r="AH20" s="393"/>
      <c r="AI20" s="393"/>
    </row>
    <row r="21" spans="1:35" ht="22.5" customHeight="1" thickBot="1" x14ac:dyDescent="0.2">
      <c r="B21" s="750" t="s">
        <v>481</v>
      </c>
      <c r="C21" s="750"/>
      <c r="D21" s="750"/>
      <c r="E21" s="498"/>
      <c r="K21" s="499"/>
      <c r="L21" s="751" t="s">
        <v>587</v>
      </c>
      <c r="M21" s="752"/>
      <c r="N21" s="594" t="s">
        <v>554</v>
      </c>
      <c r="O21" s="624">
        <f>IF(COUNTA(O16:O17)=0, "", SUM(O16:O17))</f>
        <v>0.3</v>
      </c>
      <c r="P21" s="625">
        <f>SUM(P16:P17)</f>
        <v>1.0743638870485434E-2</v>
      </c>
      <c r="Q21" s="626">
        <f>IF(SUM(Q16:Q17)=0, "", SUM(Q16:Q17))</f>
        <v>0.01</v>
      </c>
      <c r="R21" s="627"/>
      <c r="S21" s="433"/>
      <c r="T21" s="753" t="s">
        <v>432</v>
      </c>
      <c r="U21" s="754"/>
      <c r="V21" s="595" t="s">
        <v>456</v>
      </c>
      <c r="W21" s="615"/>
      <c r="X21" s="596" t="str">
        <f>IF(W21="","",SUM(W21/42.8088*1))</f>
        <v/>
      </c>
      <c r="Y21" s="630" t="str">
        <f>IF(X21="","",ROUND(X21,2))</f>
        <v/>
      </c>
      <c r="Z21" s="633" t="str">
        <f t="shared" si="2"/>
        <v/>
      </c>
      <c r="AB21" s="661" t="s">
        <v>557</v>
      </c>
      <c r="AC21" s="663">
        <v>3.8694603257783729E-3</v>
      </c>
      <c r="AF21" s="393"/>
      <c r="AG21" s="393"/>
      <c r="AH21" s="393"/>
      <c r="AI21" s="393"/>
    </row>
    <row r="22" spans="1:35" ht="22.5" customHeight="1" thickBot="1" x14ac:dyDescent="0.2">
      <c r="B22" s="755" t="s">
        <v>35</v>
      </c>
      <c r="C22" s="756"/>
      <c r="D22" s="610" t="s">
        <v>288</v>
      </c>
      <c r="E22" s="757" t="s">
        <v>593</v>
      </c>
      <c r="F22" s="758"/>
      <c r="G22" s="758"/>
      <c r="H22" s="758"/>
      <c r="I22" s="759"/>
      <c r="J22" s="760"/>
      <c r="K22" s="412"/>
      <c r="L22" s="761" t="s">
        <v>442</v>
      </c>
      <c r="M22" s="761"/>
      <c r="N22" s="761"/>
      <c r="O22" s="761"/>
      <c r="P22" s="761"/>
      <c r="Q22" s="761"/>
      <c r="R22" s="761"/>
      <c r="T22" s="762" t="s">
        <v>34</v>
      </c>
      <c r="U22" s="763"/>
      <c r="V22" s="764"/>
      <c r="W22" s="636">
        <f>IF(SUM(W5:W21)=0, "", SUM(W5:W21))</f>
        <v>12316</v>
      </c>
      <c r="X22" s="597">
        <f>SUM(X5:X21)</f>
        <v>274.07975984746054</v>
      </c>
      <c r="Y22" s="634">
        <f>SUM(Y5:Y21)</f>
        <v>274.08</v>
      </c>
      <c r="Z22" s="635">
        <f>SUM(Z5:Z21)</f>
        <v>100.00000000000001</v>
      </c>
      <c r="AB22" s="661" t="s">
        <v>510</v>
      </c>
      <c r="AC22" s="664">
        <v>7.8385846624667854E-2</v>
      </c>
      <c r="AD22" s="661" t="s">
        <v>501</v>
      </c>
      <c r="AF22" s="393"/>
      <c r="AG22" s="393"/>
      <c r="AH22" s="393"/>
      <c r="AI22" s="393"/>
    </row>
    <row r="23" spans="1:35" ht="22.5" customHeight="1" thickBot="1" x14ac:dyDescent="0.2">
      <c r="B23" s="801" t="s">
        <v>38</v>
      </c>
      <c r="C23" s="802"/>
      <c r="D23" s="611" t="s">
        <v>288</v>
      </c>
      <c r="E23" s="803" t="s">
        <v>594</v>
      </c>
      <c r="F23" s="804"/>
      <c r="G23" s="804"/>
      <c r="H23" s="804"/>
      <c r="I23" s="805"/>
      <c r="J23" s="806"/>
      <c r="L23" s="511"/>
      <c r="M23" s="511"/>
      <c r="N23" s="512"/>
      <c r="O23" s="511"/>
      <c r="P23" s="511"/>
      <c r="Q23" s="511"/>
      <c r="R23" s="511"/>
      <c r="S23" s="511"/>
      <c r="T23" s="511"/>
      <c r="U23" s="511"/>
      <c r="AB23" s="661" t="s">
        <v>560</v>
      </c>
      <c r="AC23" s="663" t="s">
        <v>596</v>
      </c>
      <c r="AD23" s="661" t="str">
        <f>IF(OR(AD11="", AD17="", AD11=0, AD17=0),
   "成分を入力してください",
   IF(AD20="ヌルヌルしない",
      "✖：ヌルヌルしない",
      IF(AD11/AD17&lt;1, "✖：ヌルヌルしない",
      IF(AD11/AD17&lt;2.5, "△：ややヌルヌル",
      IF(AD11/AD17&lt;4, "◯：しっかりヌルヌル",
      IF(AD11/AD17&lt;7, "◎：強いヌルヌル",
      IF(AD11/AD17&lt;12, "★：超ヌルヌル",
         "☆：奇跡のヌルヌル"))))))
)</f>
        <v>☆：奇跡のヌルヌル</v>
      </c>
      <c r="AF23" s="393"/>
      <c r="AG23" s="393"/>
      <c r="AH23" s="393"/>
      <c r="AI23" s="393"/>
    </row>
    <row r="24" spans="1:35" ht="22.5" customHeight="1" thickBot="1" x14ac:dyDescent="0.2">
      <c r="B24" s="801" t="s">
        <v>493</v>
      </c>
      <c r="C24" s="802"/>
      <c r="D24" s="607" t="s">
        <v>288</v>
      </c>
      <c r="E24" s="803" t="s">
        <v>595</v>
      </c>
      <c r="F24" s="804"/>
      <c r="G24" s="804"/>
      <c r="H24" s="804"/>
      <c r="I24" s="805"/>
      <c r="J24" s="806"/>
      <c r="K24" s="412"/>
      <c r="L24" s="807" t="s">
        <v>36</v>
      </c>
      <c r="M24" s="808"/>
      <c r="N24" s="809"/>
      <c r="O24" s="564" t="s">
        <v>4</v>
      </c>
      <c r="P24" s="516"/>
      <c r="Q24" s="598" t="s">
        <v>473</v>
      </c>
      <c r="R24" s="810" t="s">
        <v>37</v>
      </c>
      <c r="S24" s="811"/>
      <c r="T24" s="812"/>
      <c r="U24" s="564" t="s">
        <v>4</v>
      </c>
      <c r="W24" s="786" t="s">
        <v>304</v>
      </c>
      <c r="X24" s="787"/>
      <c r="Y24" s="787"/>
      <c r="Z24" s="788"/>
      <c r="AB24" s="661" t="s">
        <v>561</v>
      </c>
      <c r="AC24" s="665">
        <v>3.8694603257783729E-3</v>
      </c>
      <c r="AF24" s="393"/>
      <c r="AG24" s="393"/>
    </row>
    <row r="25" spans="1:35" ht="22.5" customHeight="1" thickTop="1" thickBot="1" x14ac:dyDescent="0.2">
      <c r="B25" s="789" t="s">
        <v>41</v>
      </c>
      <c r="C25" s="790"/>
      <c r="D25" s="608" t="s">
        <v>288</v>
      </c>
      <c r="E25" s="791" t="s">
        <v>574</v>
      </c>
      <c r="F25" s="792"/>
      <c r="G25" s="792"/>
      <c r="H25" s="792"/>
      <c r="I25" s="793"/>
      <c r="J25" s="794"/>
      <c r="K25" s="412"/>
      <c r="L25" s="795" t="s">
        <v>555</v>
      </c>
      <c r="M25" s="796"/>
      <c r="N25" s="599" t="s">
        <v>548</v>
      </c>
      <c r="O25" s="617">
        <v>60.6</v>
      </c>
      <c r="P25" s="521" t="s">
        <v>177</v>
      </c>
      <c r="Q25" s="521"/>
      <c r="R25" s="797" t="s">
        <v>578</v>
      </c>
      <c r="S25" s="798"/>
      <c r="T25" s="600" t="s">
        <v>584</v>
      </c>
      <c r="U25" s="617">
        <v>226.8</v>
      </c>
      <c r="W25" s="799">
        <f>SUM(O20,W22,O28)</f>
        <v>19104.400000000001</v>
      </c>
      <c r="X25" s="800"/>
      <c r="Y25" s="800"/>
      <c r="Z25" s="637" t="s">
        <v>302</v>
      </c>
      <c r="AB25" s="661" t="s">
        <v>558</v>
      </c>
      <c r="AC25" s="662" t="s">
        <v>596</v>
      </c>
      <c r="AD25" s="661" t="s">
        <v>517</v>
      </c>
      <c r="AF25" s="393"/>
      <c r="AG25" s="393"/>
      <c r="AH25" s="393"/>
      <c r="AI25" s="393"/>
    </row>
    <row r="26" spans="1:35" ht="22.5" customHeight="1" thickBot="1" x14ac:dyDescent="0.2">
      <c r="K26" s="412"/>
      <c r="L26" s="705" t="s">
        <v>544</v>
      </c>
      <c r="M26" s="706"/>
      <c r="N26" s="601" t="s">
        <v>546</v>
      </c>
      <c r="O26" s="618">
        <v>436.8</v>
      </c>
      <c r="P26" s="528" t="s">
        <v>289</v>
      </c>
      <c r="Q26" s="528"/>
      <c r="R26" s="714" t="s">
        <v>577</v>
      </c>
      <c r="S26" s="715"/>
      <c r="T26" s="602" t="s">
        <v>549</v>
      </c>
      <c r="U26" s="618">
        <v>0</v>
      </c>
      <c r="W26" s="825" t="str">
        <f>IF(W25&gt;=10000,"高張性",IF(W25&gt;=8000,"等張性","低張性"))</f>
        <v>高張性</v>
      </c>
      <c r="X26" s="826"/>
      <c r="Y26" s="826"/>
      <c r="Z26" s="827"/>
      <c r="AB26" s="661" t="s">
        <v>559</v>
      </c>
      <c r="AC26" s="666">
        <v>7.8385846624667854E-2</v>
      </c>
      <c r="AD26" s="668">
        <f>IF(OR(AD11="", AD17="", AD11=0, AD17=0), "",
   IF(AD22="ヌルヌルしない", 0, AD11 / AD17)
)</f>
        <v>13.074566312570832</v>
      </c>
      <c r="AF26" s="393"/>
      <c r="AG26" s="393"/>
      <c r="AH26" s="393"/>
      <c r="AI26" s="393"/>
    </row>
    <row r="27" spans="1:35" ht="22.5" customHeight="1" thickBot="1" x14ac:dyDescent="0.2">
      <c r="B27" s="828" t="s">
        <v>470</v>
      </c>
      <c r="C27" s="829"/>
      <c r="D27" s="643" t="s">
        <v>573</v>
      </c>
      <c r="E27" s="644" t="s">
        <v>469</v>
      </c>
      <c r="F27" s="830" t="s">
        <v>471</v>
      </c>
      <c r="G27" s="831"/>
      <c r="H27" s="832" t="s">
        <v>483</v>
      </c>
      <c r="I27" s="832"/>
      <c r="J27" s="647" t="s">
        <v>469</v>
      </c>
      <c r="K27" s="412"/>
      <c r="L27" s="705" t="s">
        <v>545</v>
      </c>
      <c r="M27" s="706"/>
      <c r="N27" s="601" t="s">
        <v>547</v>
      </c>
      <c r="O27" s="619"/>
      <c r="P27" s="535"/>
      <c r="Q27" s="535"/>
      <c r="R27" s="833" t="s">
        <v>43</v>
      </c>
      <c r="S27" s="834"/>
      <c r="T27" s="835"/>
      <c r="U27" s="639">
        <f>IF(SUM(U25:U26)=0, "", SUM(U25:U26))</f>
        <v>226.8</v>
      </c>
      <c r="W27" s="786" t="s">
        <v>303</v>
      </c>
      <c r="X27" s="787"/>
      <c r="Y27" s="787"/>
      <c r="Z27" s="788"/>
      <c r="AB27" s="673" t="s">
        <v>572</v>
      </c>
      <c r="AC27" s="667">
        <v>10.662823286973786</v>
      </c>
    </row>
    <row r="28" spans="1:35" ht="22.5" customHeight="1" thickBot="1" x14ac:dyDescent="0.2">
      <c r="B28" s="813" t="s">
        <v>551</v>
      </c>
      <c r="C28" s="814"/>
      <c r="D28" s="645" t="s">
        <v>482</v>
      </c>
      <c r="E28" s="646" t="s">
        <v>469</v>
      </c>
      <c r="F28" s="815" t="s">
        <v>552</v>
      </c>
      <c r="G28" s="816"/>
      <c r="H28" s="817" t="s">
        <v>570</v>
      </c>
      <c r="I28" s="817"/>
      <c r="J28" s="648" t="s">
        <v>469</v>
      </c>
      <c r="K28" s="412"/>
      <c r="L28" s="818" t="s">
        <v>42</v>
      </c>
      <c r="M28" s="819"/>
      <c r="N28" s="820"/>
      <c r="O28" s="639">
        <f>IF(SUM(O25:O27)=0, "", SUM(O25:O27))</f>
        <v>497.40000000000003</v>
      </c>
      <c r="P28" s="467" t="s">
        <v>194</v>
      </c>
      <c r="Q28" s="467"/>
      <c r="R28" s="821" t="s">
        <v>579</v>
      </c>
      <c r="S28" s="822"/>
      <c r="T28" s="603" t="s">
        <v>479</v>
      </c>
      <c r="U28" s="640">
        <f>IF(AND(W10="", U26="", W11=""), "", W10*32.06/33.0679 + U26*32.06/34.0758 + W11*32.06*2/112.1182)</f>
        <v>0.22875857800071714</v>
      </c>
      <c r="W28" s="823">
        <f>SUM(O20,W22,O28,U27)</f>
        <v>19331.2</v>
      </c>
      <c r="X28" s="824"/>
      <c r="Y28" s="824"/>
      <c r="Z28" s="638" t="s">
        <v>302</v>
      </c>
    </row>
    <row r="29" spans="1:35" ht="22.5" customHeight="1" thickBot="1" x14ac:dyDescent="0.2">
      <c r="K29" s="542"/>
      <c r="T29" s="394" t="s">
        <v>478</v>
      </c>
      <c r="V29" s="392"/>
      <c r="W29" s="392"/>
      <c r="X29" s="392"/>
      <c r="Y29" s="426"/>
      <c r="Z29" s="392"/>
    </row>
    <row r="30" spans="1:35" ht="22.5" customHeight="1" x14ac:dyDescent="0.15">
      <c r="B30" s="847" t="s">
        <v>598</v>
      </c>
      <c r="C30" s="847"/>
      <c r="D30" s="847"/>
      <c r="E30" s="847"/>
      <c r="F30" s="847"/>
      <c r="G30" s="847"/>
      <c r="H30" s="847"/>
      <c r="I30" s="847"/>
      <c r="J30" s="847"/>
      <c r="K30" s="396"/>
      <c r="L30" s="848" t="s">
        <v>491</v>
      </c>
      <c r="M30" s="849"/>
      <c r="N30" s="852" t="s">
        <v>562</v>
      </c>
      <c r="O30" s="604" t="s">
        <v>484</v>
      </c>
      <c r="P30" s="604" t="s">
        <v>486</v>
      </c>
      <c r="Q30" s="852" t="s">
        <v>486</v>
      </c>
      <c r="R30" s="854" t="s">
        <v>489</v>
      </c>
      <c r="S30" s="855"/>
      <c r="T30" s="858" t="s">
        <v>490</v>
      </c>
      <c r="U30" s="859"/>
      <c r="V30" s="392"/>
      <c r="W30" s="392" t="s">
        <v>480</v>
      </c>
      <c r="X30" s="392"/>
      <c r="Y30" s="392" t="s">
        <v>556</v>
      </c>
      <c r="Z30" s="392" t="s">
        <v>563</v>
      </c>
      <c r="AB30" s="885" t="s">
        <v>571</v>
      </c>
      <c r="AC30" s="885"/>
      <c r="AD30" s="885"/>
    </row>
    <row r="31" spans="1:35" ht="22.5" customHeight="1" x14ac:dyDescent="0.15">
      <c r="B31" s="847"/>
      <c r="C31" s="847"/>
      <c r="D31" s="847"/>
      <c r="E31" s="847"/>
      <c r="F31" s="847"/>
      <c r="G31" s="847"/>
      <c r="H31" s="847"/>
      <c r="I31" s="847"/>
      <c r="J31" s="847"/>
      <c r="L31" s="850"/>
      <c r="M31" s="851"/>
      <c r="N31" s="853"/>
      <c r="O31" s="605">
        <v>9.9999999999999995E-7</v>
      </c>
      <c r="P31" s="605"/>
      <c r="Q31" s="853"/>
      <c r="R31" s="856"/>
      <c r="S31" s="857"/>
      <c r="T31" s="860"/>
      <c r="U31" s="861"/>
      <c r="W31" s="545" t="s">
        <v>585</v>
      </c>
      <c r="Y31" s="392" t="s">
        <v>472</v>
      </c>
      <c r="Z31" s="394" t="s">
        <v>564</v>
      </c>
    </row>
    <row r="32" spans="1:35" s="393" customFormat="1" ht="22.5" customHeight="1" x14ac:dyDescent="0.15">
      <c r="A32" s="392"/>
      <c r="B32" s="847"/>
      <c r="C32" s="847"/>
      <c r="D32" s="847"/>
      <c r="E32" s="847"/>
      <c r="F32" s="847"/>
      <c r="G32" s="847"/>
      <c r="H32" s="847"/>
      <c r="I32" s="847"/>
      <c r="J32" s="847"/>
      <c r="L32" s="836" t="s">
        <v>485</v>
      </c>
      <c r="M32" s="837"/>
      <c r="N32" s="649">
        <f>SUM(W11)</f>
        <v>0.4</v>
      </c>
      <c r="O32" s="650">
        <f>SUM(N32*O31)</f>
        <v>3.9999999999999998E-7</v>
      </c>
      <c r="P32" s="651">
        <v>8.9182760000000005</v>
      </c>
      <c r="Q32" s="651">
        <v>8.9182760000000005</v>
      </c>
      <c r="R32" s="838">
        <f>SUM(O32*Q32)</f>
        <v>3.5673104000000002E-6</v>
      </c>
      <c r="S32" s="839"/>
      <c r="T32" s="840">
        <f>SUM(R32:S33)</f>
        <v>3.5673104000000002E-6</v>
      </c>
      <c r="U32" s="841"/>
      <c r="V32" s="394"/>
      <c r="W32" s="545" t="s">
        <v>524</v>
      </c>
      <c r="X32" s="394"/>
      <c r="Y32" s="549"/>
      <c r="Z32" s="394" t="s">
        <v>565</v>
      </c>
      <c r="AC32" s="392"/>
      <c r="AD32" s="669" t="s">
        <v>623</v>
      </c>
      <c r="AE32" s="428"/>
      <c r="AF32" s="392"/>
      <c r="AG32" s="392"/>
      <c r="AH32" s="392"/>
      <c r="AI32" s="392"/>
    </row>
    <row r="33" spans="1:35" ht="22.5" customHeight="1" x14ac:dyDescent="0.15">
      <c r="L33" s="844" t="s">
        <v>487</v>
      </c>
      <c r="M33" s="845"/>
      <c r="N33" s="652">
        <f>SUM(W10)</f>
        <v>0</v>
      </c>
      <c r="O33" s="653">
        <f>SUM(N33*O31)</f>
        <v>0</v>
      </c>
      <c r="P33" s="654">
        <v>10.19591</v>
      </c>
      <c r="Q33" s="654">
        <v>30.235690000000002</v>
      </c>
      <c r="R33" s="838">
        <f>SUM(O33*Q33)</f>
        <v>0</v>
      </c>
      <c r="S33" s="839"/>
      <c r="T33" s="842"/>
      <c r="U33" s="843"/>
      <c r="W33" s="553"/>
      <c r="X33" s="553"/>
      <c r="Y33" s="553"/>
      <c r="Z33" s="553" t="s">
        <v>566</v>
      </c>
      <c r="AC33" s="393"/>
      <c r="AD33" s="846">
        <v>45853</v>
      </c>
      <c r="AF33" s="393"/>
      <c r="AG33" s="393"/>
      <c r="AH33" s="393"/>
      <c r="AI33" s="393"/>
    </row>
    <row r="34" spans="1:35" ht="22.5" customHeight="1" thickBot="1" x14ac:dyDescent="0.2">
      <c r="A34" s="393"/>
      <c r="B34" s="878" t="s">
        <v>492</v>
      </c>
      <c r="C34" s="872" t="s">
        <v>527</v>
      </c>
      <c r="D34" s="872"/>
      <c r="E34" s="872"/>
      <c r="F34" s="872"/>
      <c r="G34" s="872"/>
      <c r="L34" s="879" t="s">
        <v>488</v>
      </c>
      <c r="M34" s="880"/>
      <c r="N34" s="655">
        <f>SUM(U26)</f>
        <v>0</v>
      </c>
      <c r="O34" s="656">
        <f>SUM(O31*N34)</f>
        <v>0</v>
      </c>
      <c r="P34" s="657">
        <v>29.341950000000001</v>
      </c>
      <c r="Q34" s="657">
        <v>29.341950000000001</v>
      </c>
      <c r="R34" s="881">
        <f t="shared" ref="R34" si="4">SUM(O34*Q34)</f>
        <v>0</v>
      </c>
      <c r="S34" s="882"/>
      <c r="T34" s="883">
        <f>SUM(R34)</f>
        <v>0</v>
      </c>
      <c r="U34" s="884"/>
      <c r="Z34" s="394" t="s">
        <v>525</v>
      </c>
      <c r="AD34" s="846"/>
    </row>
    <row r="35" spans="1:35" ht="22.5" customHeight="1" x14ac:dyDescent="0.15">
      <c r="B35" s="878"/>
      <c r="C35" s="872"/>
      <c r="D35" s="872"/>
      <c r="E35" s="872"/>
      <c r="F35" s="872"/>
      <c r="G35" s="872"/>
      <c r="Y35" s="393"/>
      <c r="Z35" s="392"/>
      <c r="AA35" s="393"/>
      <c r="AB35" s="392"/>
      <c r="AD35" s="549"/>
    </row>
    <row r="36" spans="1:35" ht="22.5" customHeight="1" x14ac:dyDescent="0.15">
      <c r="B36" s="871" t="s">
        <v>528</v>
      </c>
      <c r="C36" s="872" t="s">
        <v>526</v>
      </c>
      <c r="D36" s="872"/>
      <c r="E36" s="872"/>
      <c r="F36" s="872"/>
      <c r="G36" s="872"/>
      <c r="K36" s="393"/>
      <c r="V36" s="549"/>
      <c r="W36" s="392"/>
      <c r="X36" s="392"/>
      <c r="Y36" s="392"/>
      <c r="Z36" s="392"/>
      <c r="AB36" s="392"/>
      <c r="AD36" s="392"/>
    </row>
    <row r="37" spans="1:35" ht="22.5" customHeight="1" x14ac:dyDescent="0.15">
      <c r="B37" s="869"/>
      <c r="C37" s="872"/>
      <c r="D37" s="872"/>
      <c r="E37" s="872"/>
      <c r="F37" s="872"/>
      <c r="G37" s="872"/>
      <c r="K37" s="395"/>
      <c r="L37" s="394"/>
      <c r="M37" s="394"/>
      <c r="N37" s="394"/>
      <c r="V37" s="392"/>
      <c r="W37" s="392"/>
      <c r="X37" s="392"/>
      <c r="Y37" s="392"/>
      <c r="Z37" s="392"/>
      <c r="AB37" s="392"/>
      <c r="AD37" s="392"/>
    </row>
    <row r="38" spans="1:35" ht="22.5" customHeight="1" x14ac:dyDescent="0.15">
      <c r="B38" s="871" t="s">
        <v>529</v>
      </c>
      <c r="C38" s="872" t="s">
        <v>537</v>
      </c>
      <c r="D38" s="872"/>
      <c r="E38" s="872"/>
      <c r="F38" s="872"/>
      <c r="G38" s="872"/>
      <c r="K38" s="395"/>
      <c r="L38" s="394"/>
      <c r="M38" s="394"/>
      <c r="N38" s="394"/>
      <c r="V38" s="392"/>
      <c r="W38" s="392"/>
      <c r="X38" s="392"/>
      <c r="Y38" s="392"/>
      <c r="Z38" s="392"/>
      <c r="AB38" s="392"/>
      <c r="AD38" s="392"/>
    </row>
    <row r="39" spans="1:35" ht="22.5" customHeight="1" x14ac:dyDescent="0.15">
      <c r="B39" s="869"/>
      <c r="C39" s="872"/>
      <c r="D39" s="872"/>
      <c r="E39" s="872"/>
      <c r="F39" s="872"/>
      <c r="G39" s="872"/>
      <c r="I39" s="394"/>
      <c r="J39" s="394"/>
      <c r="K39" s="394"/>
      <c r="L39" s="394"/>
      <c r="M39" s="394"/>
      <c r="N39" s="394"/>
      <c r="S39" s="392"/>
      <c r="T39" s="392"/>
      <c r="U39" s="392"/>
      <c r="V39" s="392"/>
      <c r="W39" s="392"/>
      <c r="X39" s="392"/>
      <c r="Y39" s="392"/>
      <c r="Z39" s="392"/>
      <c r="AB39" s="428"/>
      <c r="AD39" s="392"/>
      <c r="AE39" s="392"/>
    </row>
    <row r="40" spans="1:35" ht="22.5" customHeight="1" x14ac:dyDescent="0.15">
      <c r="B40" s="871" t="s">
        <v>531</v>
      </c>
      <c r="C40" s="870" t="s">
        <v>535</v>
      </c>
      <c r="D40" s="870"/>
      <c r="E40" s="870"/>
      <c r="F40" s="870"/>
      <c r="G40" s="870"/>
      <c r="I40" s="394"/>
      <c r="J40" s="394"/>
      <c r="K40" s="394"/>
      <c r="L40" s="394"/>
      <c r="M40" s="394"/>
      <c r="N40" s="394"/>
      <c r="S40" s="392"/>
      <c r="T40" s="392"/>
      <c r="U40" s="392"/>
      <c r="V40" s="392"/>
      <c r="W40" s="392"/>
      <c r="X40" s="392"/>
      <c r="Y40" s="392"/>
      <c r="Z40" s="392"/>
      <c r="AB40" s="428"/>
      <c r="AD40" s="392"/>
      <c r="AE40" s="392"/>
    </row>
    <row r="41" spans="1:35" ht="22.5" customHeight="1" x14ac:dyDescent="0.15">
      <c r="B41" s="869"/>
      <c r="C41" s="870"/>
      <c r="D41" s="870"/>
      <c r="E41" s="870"/>
      <c r="F41" s="870"/>
      <c r="G41" s="870"/>
      <c r="K41" s="395"/>
      <c r="L41" s="394"/>
      <c r="M41" s="394"/>
      <c r="N41" s="394"/>
      <c r="V41" s="392"/>
      <c r="W41" s="392"/>
      <c r="X41" s="392"/>
      <c r="Y41" s="392"/>
      <c r="Z41" s="392"/>
      <c r="AB41" s="392"/>
      <c r="AD41" s="392"/>
    </row>
    <row r="42" spans="1:35" ht="22.5" customHeight="1" x14ac:dyDescent="0.15">
      <c r="B42" s="869" t="s">
        <v>533</v>
      </c>
      <c r="C42" s="870" t="s">
        <v>532</v>
      </c>
      <c r="D42" s="870"/>
      <c r="E42" s="870"/>
      <c r="F42" s="870"/>
      <c r="G42" s="870"/>
      <c r="Y42" s="393"/>
      <c r="Z42" s="392"/>
      <c r="AA42" s="393"/>
      <c r="AB42" s="392"/>
      <c r="AD42" s="549"/>
    </row>
    <row r="43" spans="1:35" ht="22.5" customHeight="1" x14ac:dyDescent="0.15">
      <c r="B43" s="869"/>
      <c r="C43" s="870"/>
      <c r="D43" s="870"/>
      <c r="E43" s="870"/>
      <c r="F43" s="870"/>
      <c r="G43" s="870"/>
    </row>
    <row r="44" spans="1:35" ht="22.5" customHeight="1" x14ac:dyDescent="0.15">
      <c r="B44" s="869" t="s">
        <v>534</v>
      </c>
      <c r="C44" s="870" t="s">
        <v>538</v>
      </c>
      <c r="D44" s="870"/>
      <c r="E44" s="870"/>
      <c r="F44" s="870"/>
      <c r="G44" s="870"/>
    </row>
    <row r="45" spans="1:35" ht="22.5" customHeight="1" x14ac:dyDescent="0.15">
      <c r="B45" s="869"/>
      <c r="C45" s="870"/>
      <c r="D45" s="870"/>
      <c r="E45" s="870"/>
      <c r="F45" s="870"/>
      <c r="G45" s="870"/>
    </row>
    <row r="46" spans="1:35" ht="22.5" customHeight="1" x14ac:dyDescent="0.15">
      <c r="B46" s="871" t="s">
        <v>530</v>
      </c>
      <c r="C46" s="872" t="s">
        <v>536</v>
      </c>
      <c r="D46" s="872"/>
      <c r="E46" s="872"/>
      <c r="F46" s="872"/>
      <c r="G46" s="872"/>
    </row>
    <row r="47" spans="1:35" ht="22.5" customHeight="1" x14ac:dyDescent="0.15">
      <c r="B47" s="869"/>
      <c r="C47" s="872"/>
      <c r="D47" s="872"/>
      <c r="E47" s="872"/>
      <c r="F47" s="872"/>
      <c r="G47" s="872"/>
    </row>
  </sheetData>
  <sheetProtection formatCells="0"/>
  <mergeCells count="135">
    <mergeCell ref="N1:O1"/>
    <mergeCell ref="Q1:R1"/>
    <mergeCell ref="AB1:AD1"/>
    <mergeCell ref="B44:B45"/>
    <mergeCell ref="C44:G45"/>
    <mergeCell ref="B46:B47"/>
    <mergeCell ref="C46:G47"/>
    <mergeCell ref="T1:Z1"/>
    <mergeCell ref="B1:J1"/>
    <mergeCell ref="L1:M1"/>
    <mergeCell ref="B38:B39"/>
    <mergeCell ref="C38:G39"/>
    <mergeCell ref="B40:B41"/>
    <mergeCell ref="C40:G41"/>
    <mergeCell ref="B42:B43"/>
    <mergeCell ref="C42:G43"/>
    <mergeCell ref="B34:B35"/>
    <mergeCell ref="C34:G35"/>
    <mergeCell ref="L34:M34"/>
    <mergeCell ref="R34:S34"/>
    <mergeCell ref="T34:U34"/>
    <mergeCell ref="B36:B37"/>
    <mergeCell ref="C36:G37"/>
    <mergeCell ref="AB30:AD30"/>
    <mergeCell ref="L32:M32"/>
    <mergeCell ref="R32:S32"/>
    <mergeCell ref="T32:U33"/>
    <mergeCell ref="L33:M33"/>
    <mergeCell ref="R33:S33"/>
    <mergeCell ref="AD33:AD34"/>
    <mergeCell ref="B30:J32"/>
    <mergeCell ref="L30:M31"/>
    <mergeCell ref="N30:N31"/>
    <mergeCell ref="Q30:Q31"/>
    <mergeCell ref="R30:S31"/>
    <mergeCell ref="T30:U31"/>
    <mergeCell ref="B28:C28"/>
    <mergeCell ref="F28:G28"/>
    <mergeCell ref="H28:I28"/>
    <mergeCell ref="L28:N28"/>
    <mergeCell ref="R28:S28"/>
    <mergeCell ref="W28:Y28"/>
    <mergeCell ref="L26:M26"/>
    <mergeCell ref="R26:S26"/>
    <mergeCell ref="W26:Z26"/>
    <mergeCell ref="B27:C27"/>
    <mergeCell ref="F27:G27"/>
    <mergeCell ref="H27:I27"/>
    <mergeCell ref="L27:M27"/>
    <mergeCell ref="R27:T27"/>
    <mergeCell ref="W27:Z27"/>
    <mergeCell ref="W24:Z24"/>
    <mergeCell ref="B25:C25"/>
    <mergeCell ref="E25:J25"/>
    <mergeCell ref="L25:M25"/>
    <mergeCell ref="R25:S25"/>
    <mergeCell ref="W25:Y25"/>
    <mergeCell ref="B23:C23"/>
    <mergeCell ref="E23:J23"/>
    <mergeCell ref="B24:C24"/>
    <mergeCell ref="E24:J24"/>
    <mergeCell ref="L24:N24"/>
    <mergeCell ref="R24:T24"/>
    <mergeCell ref="B21:D21"/>
    <mergeCell ref="L21:M21"/>
    <mergeCell ref="T21:U21"/>
    <mergeCell ref="B22:C22"/>
    <mergeCell ref="E22:J22"/>
    <mergeCell ref="L22:R22"/>
    <mergeCell ref="T22:V22"/>
    <mergeCell ref="B18:F18"/>
    <mergeCell ref="G18:J18"/>
    <mergeCell ref="L18:M18"/>
    <mergeCell ref="T18:U18"/>
    <mergeCell ref="B19:F20"/>
    <mergeCell ref="G19:J20"/>
    <mergeCell ref="L19:M19"/>
    <mergeCell ref="T19:U19"/>
    <mergeCell ref="L20:N20"/>
    <mergeCell ref="T20:U20"/>
    <mergeCell ref="B15:J15"/>
    <mergeCell ref="L15:M15"/>
    <mergeCell ref="T15:U15"/>
    <mergeCell ref="B16:B17"/>
    <mergeCell ref="C16:J17"/>
    <mergeCell ref="L16:M16"/>
    <mergeCell ref="T16:U16"/>
    <mergeCell ref="L17:M17"/>
    <mergeCell ref="T17:U17"/>
    <mergeCell ref="B14:D14"/>
    <mergeCell ref="E14:F14"/>
    <mergeCell ref="G14:H14"/>
    <mergeCell ref="I14:J14"/>
    <mergeCell ref="L14:M14"/>
    <mergeCell ref="T14:U14"/>
    <mergeCell ref="B13:D13"/>
    <mergeCell ref="E13:F13"/>
    <mergeCell ref="G13:H13"/>
    <mergeCell ref="I13:J13"/>
    <mergeCell ref="L13:M13"/>
    <mergeCell ref="T13:U13"/>
    <mergeCell ref="B11:C11"/>
    <mergeCell ref="L11:M11"/>
    <mergeCell ref="T11:U11"/>
    <mergeCell ref="B12:C12"/>
    <mergeCell ref="D12:J12"/>
    <mergeCell ref="L12:M12"/>
    <mergeCell ref="T12:U12"/>
    <mergeCell ref="B10:C10"/>
    <mergeCell ref="D10:E10"/>
    <mergeCell ref="F10:G10"/>
    <mergeCell ref="H10:I10"/>
    <mergeCell ref="L10:M10"/>
    <mergeCell ref="T10:U10"/>
    <mergeCell ref="L9:M9"/>
    <mergeCell ref="T9:U9"/>
    <mergeCell ref="B6:C7"/>
    <mergeCell ref="D6:J6"/>
    <mergeCell ref="L6:M6"/>
    <mergeCell ref="T6:U6"/>
    <mergeCell ref="D7:J7"/>
    <mergeCell ref="L7:M7"/>
    <mergeCell ref="T7:U7"/>
    <mergeCell ref="C4:J4"/>
    <mergeCell ref="L4:N4"/>
    <mergeCell ref="T4:V4"/>
    <mergeCell ref="C5:D5"/>
    <mergeCell ref="F5:G5"/>
    <mergeCell ref="I5:J5"/>
    <mergeCell ref="L5:M5"/>
    <mergeCell ref="T5:U5"/>
    <mergeCell ref="B8:C8"/>
    <mergeCell ref="H8:I8"/>
    <mergeCell ref="L8:M8"/>
    <mergeCell ref="T8:U8"/>
  </mergeCells>
  <phoneticPr fontId="100"/>
  <dataValidations count="9">
    <dataValidation type="list" allowBlank="1" showInputMessage="1" showErrorMessage="1" sqref="AB27" xr:uid="{72ECE5B2-3B4D-4F9D-9EFA-DD3D9059129E}">
      <formula1>"補正しない,補正する(自動補正),強制温度補正する"</formula1>
    </dataValidation>
    <dataValidation type="list" allowBlank="1" showInputMessage="1" showErrorMessage="1" sqref="I14:J14" xr:uid="{79EBAAC2-F1DF-467B-9EA6-D7E223D0206E}">
      <formula1>$Z$30:$Z$34</formula1>
    </dataValidation>
    <dataValidation type="list" allowBlank="1" showInputMessage="1" showErrorMessage="1" sqref="J10" xr:uid="{C33537A4-DE34-48B6-9860-ADCA5D7EB1CB}">
      <formula1>"(ｍS/m),(S/m)"</formula1>
    </dataValidation>
    <dataValidation type="list" allowBlank="1" showInputMessage="1" showErrorMessage="1" sqref="F28:G28" xr:uid="{115865A7-5349-439C-A9D5-CF8378AAF60E}">
      <formula1>$Y$30:$Y$31</formula1>
    </dataValidation>
    <dataValidation type="list" allowBlank="1" showInputMessage="1" showErrorMessage="1" sqref="J19:J20" xr:uid="{AC682C7F-9C2C-47C8-B3D5-492815DAE807}">
      <formula1>AE5:AE7</formula1>
    </dataValidation>
    <dataValidation type="list" allowBlank="1" showInputMessage="1" showErrorMessage="1" sqref="G19" xr:uid="{99C38859-B033-4BC5-8F44-8411BBC95B5E}">
      <formula1>W30:W32</formula1>
    </dataValidation>
    <dataValidation type="list" allowBlank="1" showInputMessage="1" showErrorMessage="1" sqref="G20 H19:I20" xr:uid="{C4936DBB-AD08-4E08-9F6E-447C95D22347}">
      <formula1>AC5:AC7</formula1>
    </dataValidation>
    <dataValidation allowBlank="1" showInputMessage="1" showErrorMessage="1" sqref="J8" xr:uid="{286A6036-3B39-4B78-A004-68F35C005178}"/>
    <dataValidation type="list" allowBlank="1" showInputMessage="1" showErrorMessage="1" sqref="D22:D25" xr:uid="{1DECF4C9-C0EB-499A-B3D7-BD8C5627ADC3}">
      <formula1>#REF!</formula1>
    </dataValidation>
  </dataValidations>
  <pageMargins left="0.69930555555555596" right="0.69930555555555596" top="0.75" bottom="0.75" header="0.3" footer="0.3"/>
  <pageSetup paperSize="9" scale="3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CC08-B8F1-4190-A6BD-753C331AD6D7}">
  <dimension ref="A1:D20"/>
  <sheetViews>
    <sheetView workbookViewId="0">
      <selection activeCell="D10" sqref="D10"/>
    </sheetView>
  </sheetViews>
  <sheetFormatPr defaultRowHeight="25.5" customHeight="1" x14ac:dyDescent="0.15"/>
  <cols>
    <col min="1" max="1" width="5.25" style="427" customWidth="1"/>
    <col min="2" max="2" width="114" style="549" customWidth="1"/>
    <col min="3" max="3" width="5.5" style="1363" customWidth="1"/>
    <col min="4" max="4" width="80.125" style="1364" customWidth="1"/>
    <col min="5" max="16384" width="9" style="1363"/>
  </cols>
  <sheetData>
    <row r="1" spans="1:4" ht="55.5" customHeight="1" x14ac:dyDescent="0.15">
      <c r="A1" s="1362" t="s">
        <v>605</v>
      </c>
      <c r="B1" s="1362"/>
      <c r="C1" s="1362"/>
      <c r="D1" s="1362"/>
    </row>
    <row r="2" spans="1:4" ht="25.5" customHeight="1" x14ac:dyDescent="0.15">
      <c r="B2" s="1368" t="s">
        <v>608</v>
      </c>
      <c r="D2" s="1369" t="s">
        <v>615</v>
      </c>
    </row>
    <row r="3" spans="1:4" ht="54.75" customHeight="1" x14ac:dyDescent="0.15">
      <c r="B3" s="1365" t="s">
        <v>622</v>
      </c>
      <c r="D3" s="1364" t="s">
        <v>616</v>
      </c>
    </row>
    <row r="4" spans="1:4" ht="54.75" customHeight="1" x14ac:dyDescent="0.15">
      <c r="B4" s="1365" t="s">
        <v>628</v>
      </c>
      <c r="D4" s="1364" t="s">
        <v>617</v>
      </c>
    </row>
    <row r="5" spans="1:4" ht="54" customHeight="1" x14ac:dyDescent="0.15">
      <c r="A5" s="427">
        <v>1</v>
      </c>
      <c r="B5" s="1366" t="s">
        <v>607</v>
      </c>
      <c r="D5" s="1364" t="s">
        <v>618</v>
      </c>
    </row>
    <row r="6" spans="1:4" ht="62.25" customHeight="1" x14ac:dyDescent="0.15">
      <c r="B6" s="1366" t="s">
        <v>619</v>
      </c>
      <c r="D6" s="1364" t="s">
        <v>631</v>
      </c>
    </row>
    <row r="7" spans="1:4" ht="54" customHeight="1" x14ac:dyDescent="0.15">
      <c r="B7" s="1366" t="s">
        <v>629</v>
      </c>
      <c r="D7" s="1364" t="s">
        <v>621</v>
      </c>
    </row>
    <row r="8" spans="1:4" ht="54" customHeight="1" x14ac:dyDescent="0.15">
      <c r="A8" s="427">
        <v>2</v>
      </c>
      <c r="B8" s="1366" t="s">
        <v>606</v>
      </c>
      <c r="D8" s="1364" t="s">
        <v>620</v>
      </c>
    </row>
    <row r="9" spans="1:4" ht="54" customHeight="1" x14ac:dyDescent="0.15">
      <c r="A9" s="427">
        <v>3</v>
      </c>
      <c r="B9" s="1366" t="s">
        <v>613</v>
      </c>
    </row>
    <row r="10" spans="1:4" ht="85.5" customHeight="1" x14ac:dyDescent="0.15">
      <c r="A10" s="427">
        <v>4</v>
      </c>
      <c r="B10" s="1366" t="s">
        <v>625</v>
      </c>
    </row>
    <row r="11" spans="1:4" ht="66.75" customHeight="1" x14ac:dyDescent="0.15">
      <c r="A11" s="427">
        <v>5</v>
      </c>
      <c r="B11" s="1366" t="s">
        <v>630</v>
      </c>
    </row>
    <row r="12" spans="1:4" ht="134.25" customHeight="1" x14ac:dyDescent="0.15">
      <c r="A12" s="427">
        <v>6</v>
      </c>
      <c r="B12" s="1366" t="s">
        <v>611</v>
      </c>
    </row>
    <row r="13" spans="1:4" ht="54" customHeight="1" x14ac:dyDescent="0.15">
      <c r="A13" s="427">
        <v>7</v>
      </c>
      <c r="B13" s="1370" t="s">
        <v>614</v>
      </c>
    </row>
    <row r="14" spans="1:4" ht="54" customHeight="1" x14ac:dyDescent="0.15"/>
    <row r="15" spans="1:4" ht="80.25" customHeight="1" x14ac:dyDescent="0.15">
      <c r="B15" s="1367" t="s">
        <v>626</v>
      </c>
    </row>
    <row r="16" spans="1:4" ht="54" customHeight="1" x14ac:dyDescent="0.15"/>
    <row r="17" spans="2:2" ht="54" customHeight="1" x14ac:dyDescent="0.15">
      <c r="B17" s="1368" t="s">
        <v>609</v>
      </c>
    </row>
    <row r="18" spans="2:2" ht="144" customHeight="1" x14ac:dyDescent="0.15">
      <c r="B18" s="1366" t="s">
        <v>627</v>
      </c>
    </row>
    <row r="19" spans="2:2" ht="54" customHeight="1" x14ac:dyDescent="0.15">
      <c r="B19" s="1366" t="s">
        <v>610</v>
      </c>
    </row>
    <row r="20" spans="2:2" ht="69.75" customHeight="1" x14ac:dyDescent="0.15">
      <c r="B20" s="1366" t="s">
        <v>612</v>
      </c>
    </row>
  </sheetData>
  <mergeCells count="1">
    <mergeCell ref="A1:D1"/>
  </mergeCells>
  <phoneticPr fontId="10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2015C-5998-4B25-859F-730A4B81B184}">
  <sheetPr codeName="Sheet3">
    <pageSetUpPr fitToPage="1"/>
  </sheetPr>
  <dimension ref="A1:AI45"/>
  <sheetViews>
    <sheetView showGridLines="0" zoomScale="85" zoomScaleNormal="85" workbookViewId="0">
      <selection activeCell="C2" sqref="C2:J2"/>
    </sheetView>
  </sheetViews>
  <sheetFormatPr defaultColWidth="11.375" defaultRowHeight="22.5" customHeight="1" x14ac:dyDescent="0.15"/>
  <cols>
    <col min="1" max="1" width="2.5" style="392" customWidth="1"/>
    <col min="2" max="3" width="10.625" style="393" customWidth="1"/>
    <col min="4" max="4" width="11.625" style="392" customWidth="1"/>
    <col min="5" max="5" width="9.625" style="392" customWidth="1"/>
    <col min="6" max="7" width="10.5" style="392" customWidth="1"/>
    <col min="8" max="8" width="9" style="392" customWidth="1"/>
    <col min="9" max="9" width="5.125" style="392" customWidth="1"/>
    <col min="10" max="10" width="13.625" style="392" customWidth="1"/>
    <col min="11" max="11" width="6" style="392" customWidth="1"/>
    <col min="12" max="12" width="10.75" style="392" customWidth="1"/>
    <col min="13" max="13" width="10" style="392" customWidth="1"/>
    <col min="14" max="14" width="9.75" style="395" customWidth="1"/>
    <col min="15" max="15" width="11.875" style="394" customWidth="1"/>
    <col min="16" max="16" width="11.625" style="394" hidden="1" customWidth="1"/>
    <col min="17" max="18" width="11.625" style="394" customWidth="1"/>
    <col min="19" max="19" width="7.625" style="394" customWidth="1"/>
    <col min="20" max="20" width="10.75" style="394" customWidth="1"/>
    <col min="21" max="21" width="10" style="394" customWidth="1"/>
    <col min="22" max="22" width="9.875" style="394" customWidth="1"/>
    <col min="23" max="23" width="11.875" style="394" customWidth="1"/>
    <col min="24" max="24" width="8.875" style="394" hidden="1" customWidth="1"/>
    <col min="25" max="26" width="11.625" style="394" customWidth="1"/>
    <col min="27" max="27" width="11.375" style="392"/>
    <col min="28" max="28" width="25" style="393" bestFit="1" customWidth="1"/>
    <col min="29" max="29" width="23.5" style="392" bestFit="1" customWidth="1"/>
    <col min="30" max="30" width="22.75" style="427" bestFit="1" customWidth="1"/>
    <col min="31" max="31" width="18.875" style="428" bestFit="1" customWidth="1"/>
    <col min="32" max="33" width="13.25" style="392" customWidth="1"/>
    <col min="34" max="34" width="20.875" style="392" bestFit="1" customWidth="1"/>
    <col min="35" max="35" width="29.5" style="392" bestFit="1" customWidth="1"/>
    <col min="36" max="16384" width="11.375" style="392"/>
  </cols>
  <sheetData>
    <row r="1" spans="2:35" ht="10.5" customHeight="1" thickBot="1" x14ac:dyDescent="0.2">
      <c r="K1" s="410"/>
      <c r="L1" s="410"/>
      <c r="M1" s="410"/>
      <c r="N1" s="425"/>
      <c r="AC1" s="426"/>
      <c r="AF1" s="426"/>
      <c r="AG1" s="426"/>
      <c r="AH1" s="426"/>
      <c r="AI1" s="426"/>
    </row>
    <row r="2" spans="2:35" ht="26.25" customHeight="1" thickBot="1" x14ac:dyDescent="0.2">
      <c r="B2" s="429" t="s">
        <v>541</v>
      </c>
      <c r="C2" s="1073"/>
      <c r="D2" s="1073"/>
      <c r="E2" s="1073"/>
      <c r="F2" s="1073"/>
      <c r="G2" s="1073"/>
      <c r="H2" s="1073"/>
      <c r="I2" s="1073"/>
      <c r="J2" s="1074"/>
      <c r="K2" s="410"/>
      <c r="L2" s="1060" t="s">
        <v>292</v>
      </c>
      <c r="M2" s="1061"/>
      <c r="N2" s="1061"/>
      <c r="O2" s="430" t="s">
        <v>4</v>
      </c>
      <c r="P2" s="431" t="s">
        <v>5</v>
      </c>
      <c r="Q2" s="430" t="s">
        <v>5</v>
      </c>
      <c r="R2" s="432" t="s">
        <v>6</v>
      </c>
      <c r="S2" s="433"/>
      <c r="T2" s="1062" t="s">
        <v>293</v>
      </c>
      <c r="U2" s="1063"/>
      <c r="V2" s="1064"/>
      <c r="W2" s="434" t="s">
        <v>4</v>
      </c>
      <c r="X2" s="435" t="s">
        <v>5</v>
      </c>
      <c r="Y2" s="430" t="s">
        <v>5</v>
      </c>
      <c r="Z2" s="432" t="s">
        <v>6</v>
      </c>
      <c r="AB2" s="436"/>
      <c r="AC2" s="437" t="s">
        <v>494</v>
      </c>
      <c r="AD2" s="438" t="s">
        <v>495</v>
      </c>
      <c r="AF2" s="428"/>
      <c r="AG2" s="428"/>
      <c r="AH2" s="428"/>
      <c r="AI2" s="428"/>
    </row>
    <row r="3" spans="2:35" ht="22.5" customHeight="1" thickTop="1" thickBot="1" x14ac:dyDescent="0.2">
      <c r="B3" s="439" t="s">
        <v>539</v>
      </c>
      <c r="C3" s="1069"/>
      <c r="D3" s="1070"/>
      <c r="E3" s="440" t="s">
        <v>540</v>
      </c>
      <c r="F3" s="1071"/>
      <c r="G3" s="1072"/>
      <c r="H3" s="441" t="s">
        <v>522</v>
      </c>
      <c r="I3" s="1075"/>
      <c r="J3" s="1076"/>
      <c r="K3" s="442"/>
      <c r="L3" s="1065" t="s">
        <v>580</v>
      </c>
      <c r="M3" s="1066"/>
      <c r="N3" s="443" t="s">
        <v>583</v>
      </c>
      <c r="O3" s="419"/>
      <c r="P3" s="444" t="str">
        <f>IF(O3="","",SUM(O3/1.0079*1))</f>
        <v/>
      </c>
      <c r="Q3" s="445" t="str">
        <f>IF(P3="","",ROUND(P3,2))</f>
        <v/>
      </c>
      <c r="R3" s="404" t="str">
        <f>IF(O3="","",Q3/$Q$18*100)</f>
        <v/>
      </c>
      <c r="S3" s="433"/>
      <c r="T3" s="1067" t="s">
        <v>568</v>
      </c>
      <c r="U3" s="1068"/>
      <c r="V3" s="446" t="s">
        <v>457</v>
      </c>
      <c r="W3" s="423"/>
      <c r="X3" s="447" t="str">
        <f>IF(W3="","",SUM(W3/18.998403*1))</f>
        <v/>
      </c>
      <c r="Y3" s="445" t="str">
        <f>IF(X3="","",ROUND(X3,2))</f>
        <v/>
      </c>
      <c r="Z3" s="407" t="str">
        <f>IF(Y3="","",Y3/$Y$20*100)</f>
        <v/>
      </c>
      <c r="AB3" s="436"/>
      <c r="AC3" s="448"/>
      <c r="AD3" s="449">
        <f>AC9 + AC10</f>
        <v>0</v>
      </c>
      <c r="AE3" s="450"/>
      <c r="AF3" s="393"/>
      <c r="AG3" s="393"/>
      <c r="AH3" s="393"/>
      <c r="AI3" s="393"/>
    </row>
    <row r="4" spans="2:35" ht="22.5" customHeight="1" x14ac:dyDescent="0.15">
      <c r="B4" s="1101" t="s">
        <v>514</v>
      </c>
      <c r="C4" s="1102"/>
      <c r="D4" s="1054"/>
      <c r="E4" s="1054"/>
      <c r="F4" s="1054"/>
      <c r="G4" s="1054"/>
      <c r="H4" s="1054"/>
      <c r="I4" s="1054"/>
      <c r="J4" s="1055"/>
      <c r="K4" s="411"/>
      <c r="L4" s="960" t="s">
        <v>7</v>
      </c>
      <c r="M4" s="961"/>
      <c r="N4" s="451" t="s">
        <v>444</v>
      </c>
      <c r="O4" s="420"/>
      <c r="P4" s="452" t="str">
        <f>IF(O4="","",SUM(O4/6.941*1))</f>
        <v/>
      </c>
      <c r="Q4" s="453" t="str">
        <f>IF(P4="","",ROUND(P4,2))</f>
        <v/>
      </c>
      <c r="R4" s="405" t="str">
        <f t="shared" ref="R4:R17" si="0">IF(O4="","",Q4/$Q$18*100)</f>
        <v/>
      </c>
      <c r="S4" s="454"/>
      <c r="T4" s="1003" t="s">
        <v>10</v>
      </c>
      <c r="U4" s="1004"/>
      <c r="V4" s="455" t="s">
        <v>458</v>
      </c>
      <c r="W4" s="424"/>
      <c r="X4" s="456" t="str">
        <f>IF(W4="","",SUM(W4/35.453*1))</f>
        <v/>
      </c>
      <c r="Y4" s="453" t="str">
        <f t="shared" ref="Y4:Y18" si="1">IF(X4="","",ROUND(X4,2))</f>
        <v/>
      </c>
      <c r="Z4" s="408" t="str">
        <f t="shared" ref="Z4:Z19" si="2">IF(Y4="","",Y4/$Y$20*100)</f>
        <v/>
      </c>
      <c r="AB4" s="436" t="s">
        <v>519</v>
      </c>
      <c r="AC4" s="457" t="str">
        <f>IF(P3="","",P3/1)</f>
        <v/>
      </c>
      <c r="AG4" s="393"/>
      <c r="AH4" s="393"/>
      <c r="AI4" s="393" t="s">
        <v>500</v>
      </c>
    </row>
    <row r="5" spans="2:35" ht="22.5" customHeight="1" thickBot="1" x14ac:dyDescent="0.2">
      <c r="B5" s="1101"/>
      <c r="C5" s="1102"/>
      <c r="D5" s="1371" t="str">
        <f>W24&amp;J6&amp;F6</f>
        <v>低張性中性高温泉</v>
      </c>
      <c r="E5" s="1372"/>
      <c r="F5" s="1372"/>
      <c r="G5" s="1372"/>
      <c r="H5" s="1372"/>
      <c r="I5" s="1372"/>
      <c r="J5" s="1373"/>
      <c r="L5" s="1027" t="s">
        <v>9</v>
      </c>
      <c r="M5" s="1028"/>
      <c r="N5" s="458" t="s">
        <v>445</v>
      </c>
      <c r="O5" s="421"/>
      <c r="P5" s="459" t="str">
        <f>IF(O5="","",SUM(O5/22.98977*1))</f>
        <v/>
      </c>
      <c r="Q5" s="445" t="str">
        <f>IF(P5="","",ROUND(P5,2))</f>
        <v/>
      </c>
      <c r="R5" s="404" t="str">
        <f t="shared" si="0"/>
        <v/>
      </c>
      <c r="S5" s="460"/>
      <c r="T5" s="1019" t="s">
        <v>12</v>
      </c>
      <c r="U5" s="1020"/>
      <c r="V5" s="461" t="s">
        <v>459</v>
      </c>
      <c r="W5" s="423"/>
      <c r="X5" s="447" t="str">
        <f>IF(W5="","",SUM(W5/79.904*1))</f>
        <v/>
      </c>
      <c r="Y5" s="445" t="str">
        <f t="shared" si="1"/>
        <v/>
      </c>
      <c r="Z5" s="407" t="str">
        <f t="shared" si="2"/>
        <v/>
      </c>
      <c r="AB5" s="438" t="s">
        <v>502</v>
      </c>
      <c r="AC5" s="462" t="str">
        <f>IF(P4="","",P4/1)</f>
        <v/>
      </c>
      <c r="AD5" s="438" t="s">
        <v>496</v>
      </c>
      <c r="AF5" s="393"/>
      <c r="AG5" s="393"/>
      <c r="AH5" s="393"/>
      <c r="AI5" s="393"/>
    </row>
    <row r="6" spans="2:35" ht="22.5" customHeight="1" thickBot="1" x14ac:dyDescent="0.2">
      <c r="B6" s="1050" t="s">
        <v>523</v>
      </c>
      <c r="C6" s="1051"/>
      <c r="D6" s="403">
        <v>42</v>
      </c>
      <c r="E6" s="463" t="s">
        <v>476</v>
      </c>
      <c r="F6" s="464" t="str">
        <f>IF(D6&gt;=42,"高温泉",IF(D6&gt;=34,"温泉",IF(D6&gt;=25,"低温泉","冷鉱泉")))</f>
        <v>高温泉</v>
      </c>
      <c r="G6" s="465" t="s">
        <v>521</v>
      </c>
      <c r="H6" s="1056">
        <v>7</v>
      </c>
      <c r="I6" s="1056"/>
      <c r="J6" s="466" t="str">
        <f>IF(H6="","",IF(H6&lt;2.1, "強酸性",
 IF(H6&lt;3.1, "酸性",
 IF(H6&lt;6.1, "弱酸性",
 IF(H6&lt;7.5, "中性",
 IF(H6&lt;8.5, "弱アルカリ性",
 IF(H6&lt;10, "アルカリ性", "強アルカリ性")))))))</f>
        <v>中性</v>
      </c>
      <c r="L6" s="1031" t="s">
        <v>11</v>
      </c>
      <c r="M6" s="1032"/>
      <c r="N6" s="451" t="s">
        <v>446</v>
      </c>
      <c r="O6" s="420"/>
      <c r="P6" s="452" t="str">
        <f>IF(O6="","",SUM(O6/39.0983*1))</f>
        <v/>
      </c>
      <c r="Q6" s="453" t="str">
        <f t="shared" ref="Q6:Q17" si="3">IF(P6="","",ROUND(P6,2))</f>
        <v/>
      </c>
      <c r="R6" s="405" t="str">
        <f t="shared" si="0"/>
        <v/>
      </c>
      <c r="S6" s="467"/>
      <c r="T6" s="1052" t="s">
        <v>581</v>
      </c>
      <c r="U6" s="1053"/>
      <c r="V6" s="468" t="s">
        <v>582</v>
      </c>
      <c r="W6" s="424"/>
      <c r="X6" s="456" t="str">
        <f>IF(W6="","",SUM(W6/126.9045*1))</f>
        <v/>
      </c>
      <c r="Y6" s="453" t="str">
        <f t="shared" si="1"/>
        <v/>
      </c>
      <c r="Z6" s="408" t="str">
        <f t="shared" si="2"/>
        <v/>
      </c>
      <c r="AB6" s="438" t="s">
        <v>503</v>
      </c>
      <c r="AC6" s="462" t="str">
        <f>IF(P5="","",P5/1)</f>
        <v/>
      </c>
      <c r="AD6" s="449">
        <f>AC8 + AC11 + AC18 + AC19</f>
        <v>9.9999999999999991E-5</v>
      </c>
      <c r="AF6" s="393"/>
      <c r="AG6" s="393"/>
      <c r="AH6" s="393"/>
      <c r="AI6" s="393"/>
    </row>
    <row r="7" spans="2:35" ht="22.5" customHeight="1" thickBot="1" x14ac:dyDescent="0.2">
      <c r="B7" s="469"/>
      <c r="C7" s="470"/>
      <c r="D7" s="470"/>
      <c r="E7" s="469"/>
      <c r="F7" s="469"/>
      <c r="G7" s="469"/>
      <c r="H7" s="471"/>
      <c r="I7" s="471"/>
      <c r="J7" s="472"/>
      <c r="L7" s="1057" t="s">
        <v>13</v>
      </c>
      <c r="M7" s="1058"/>
      <c r="N7" s="473" t="s">
        <v>447</v>
      </c>
      <c r="O7" s="421"/>
      <c r="P7" s="459" t="str">
        <f>IF(O7="","",SUM(O7/18.0383*1))</f>
        <v/>
      </c>
      <c r="Q7" s="445" t="str">
        <f t="shared" si="3"/>
        <v/>
      </c>
      <c r="R7" s="404" t="str">
        <f t="shared" si="0"/>
        <v/>
      </c>
      <c r="S7" s="460"/>
      <c r="T7" s="1019" t="s">
        <v>15</v>
      </c>
      <c r="U7" s="1020"/>
      <c r="V7" s="461" t="s">
        <v>460</v>
      </c>
      <c r="W7" s="423"/>
      <c r="X7" s="447" t="str">
        <f>IF(W7="","",SUM(W7/17.0073*1))</f>
        <v/>
      </c>
      <c r="Y7" s="445" t="str">
        <f t="shared" si="1"/>
        <v/>
      </c>
      <c r="Z7" s="407" t="str">
        <f t="shared" si="2"/>
        <v/>
      </c>
      <c r="AB7" s="438" t="s">
        <v>504</v>
      </c>
      <c r="AC7" s="462" t="str">
        <f>IF(P6="","",P6/1)</f>
        <v/>
      </c>
      <c r="AF7" s="393"/>
      <c r="AG7" s="393"/>
      <c r="AH7" s="393"/>
      <c r="AI7" s="393"/>
    </row>
    <row r="8" spans="2:35" ht="22.5" customHeight="1" thickBot="1" x14ac:dyDescent="0.2">
      <c r="B8" s="1043" t="s">
        <v>468</v>
      </c>
      <c r="C8" s="1044"/>
      <c r="D8" s="1045"/>
      <c r="E8" s="1046"/>
      <c r="F8" s="1047" t="s">
        <v>467</v>
      </c>
      <c r="G8" s="1047"/>
      <c r="H8" s="1048"/>
      <c r="I8" s="1049"/>
      <c r="J8" s="474" t="s">
        <v>553</v>
      </c>
      <c r="K8" s="475"/>
      <c r="L8" s="916" t="s">
        <v>14</v>
      </c>
      <c r="M8" s="917"/>
      <c r="N8" s="451" t="s">
        <v>448</v>
      </c>
      <c r="O8" s="420"/>
      <c r="P8" s="452" t="str">
        <f>IF(O8="","",SUM(O8/24.305*2))</f>
        <v/>
      </c>
      <c r="Q8" s="453" t="str">
        <f t="shared" si="3"/>
        <v/>
      </c>
      <c r="R8" s="405" t="str">
        <f t="shared" si="0"/>
        <v/>
      </c>
      <c r="S8" s="467"/>
      <c r="T8" s="962" t="s">
        <v>18</v>
      </c>
      <c r="U8" s="963"/>
      <c r="V8" s="476" t="s">
        <v>575</v>
      </c>
      <c r="W8" s="424"/>
      <c r="X8" s="456" t="str">
        <f>IF(W8="","",SUM(W8/33.0679*1))</f>
        <v/>
      </c>
      <c r="Y8" s="453" t="str">
        <f>IF(X8="","",ROUND(X8,2))</f>
        <v/>
      </c>
      <c r="Z8" s="408" t="str">
        <f t="shared" si="2"/>
        <v/>
      </c>
      <c r="AB8" s="438" t="s">
        <v>505</v>
      </c>
      <c r="AC8" s="462">
        <f>IF(OR(W7="", W7=0),
   IF(ISNUMBER(H6), 10^(-(14 - H6)) * 1000, 0),
   W7 / 17.008
)</f>
        <v>9.9999999999999991E-5</v>
      </c>
      <c r="AD8" s="438" t="s">
        <v>497</v>
      </c>
      <c r="AF8" s="393"/>
      <c r="AG8" s="393"/>
      <c r="AH8" s="393"/>
      <c r="AI8" s="393"/>
    </row>
    <row r="9" spans="2:35" ht="22.5" customHeight="1" thickBot="1" x14ac:dyDescent="0.2">
      <c r="B9" s="1039" t="s">
        <v>477</v>
      </c>
      <c r="C9" s="1040"/>
      <c r="D9" s="416"/>
      <c r="E9" s="477" t="s">
        <v>306</v>
      </c>
      <c r="F9" s="416" t="s">
        <v>525</v>
      </c>
      <c r="G9" s="478" t="s">
        <v>305</v>
      </c>
      <c r="H9" s="557" t="s">
        <v>588</v>
      </c>
      <c r="I9" s="479"/>
      <c r="J9" s="480"/>
      <c r="K9" s="475"/>
      <c r="L9" s="1027" t="s">
        <v>17</v>
      </c>
      <c r="M9" s="1028"/>
      <c r="N9" s="473" t="s">
        <v>449</v>
      </c>
      <c r="O9" s="421"/>
      <c r="P9" s="459" t="str">
        <f>IF(O9="","",SUM(O9/40.08*2))</f>
        <v/>
      </c>
      <c r="Q9" s="445" t="str">
        <f t="shared" si="3"/>
        <v/>
      </c>
      <c r="R9" s="404" t="str">
        <f t="shared" si="0"/>
        <v/>
      </c>
      <c r="S9" s="467"/>
      <c r="T9" s="1041" t="s">
        <v>21</v>
      </c>
      <c r="U9" s="1042"/>
      <c r="V9" s="481" t="s">
        <v>576</v>
      </c>
      <c r="W9" s="423"/>
      <c r="X9" s="447" t="str">
        <f>IF(W9="","",SUM(W9/112.1182*2))</f>
        <v/>
      </c>
      <c r="Y9" s="445" t="str">
        <f t="shared" si="1"/>
        <v/>
      </c>
      <c r="Z9" s="407" t="str">
        <f t="shared" si="2"/>
        <v/>
      </c>
      <c r="AB9" s="438" t="s">
        <v>506</v>
      </c>
      <c r="AC9" s="462">
        <f>IF(O8="",0, O8/24.305)</f>
        <v>0</v>
      </c>
      <c r="AD9" s="449">
        <f>AC25</f>
        <v>9.9999999999999991E-5</v>
      </c>
      <c r="AF9" s="393"/>
      <c r="AG9" s="393"/>
      <c r="AH9" s="393"/>
      <c r="AI9" s="393"/>
    </row>
    <row r="10" spans="2:35" ht="22.5" customHeight="1" thickBot="1" x14ac:dyDescent="0.2">
      <c r="B10" s="914" t="s">
        <v>16</v>
      </c>
      <c r="C10" s="915"/>
      <c r="D10" s="896"/>
      <c r="E10" s="896"/>
      <c r="F10" s="896"/>
      <c r="G10" s="896"/>
      <c r="H10" s="896"/>
      <c r="I10" s="896"/>
      <c r="J10" s="897"/>
      <c r="L10" s="916" t="s">
        <v>19</v>
      </c>
      <c r="M10" s="917"/>
      <c r="N10" s="451" t="s">
        <v>450</v>
      </c>
      <c r="O10" s="420"/>
      <c r="P10" s="452" t="str">
        <f>IF(O10="","",SUM(O10/87.62*2))</f>
        <v/>
      </c>
      <c r="Q10" s="453" t="str">
        <f t="shared" si="3"/>
        <v/>
      </c>
      <c r="R10" s="405" t="str">
        <f t="shared" si="0"/>
        <v/>
      </c>
      <c r="T10" s="1025" t="s">
        <v>23</v>
      </c>
      <c r="U10" s="1026"/>
      <c r="V10" s="482" t="s">
        <v>461</v>
      </c>
      <c r="W10" s="424"/>
      <c r="X10" s="456" t="str">
        <f>IF(W10="","",SUM(W10/97.0655*1))</f>
        <v/>
      </c>
      <c r="Y10" s="453" t="str">
        <f t="shared" si="1"/>
        <v/>
      </c>
      <c r="Z10" s="408" t="str">
        <f t="shared" si="2"/>
        <v/>
      </c>
      <c r="AB10" s="438" t="s">
        <v>507</v>
      </c>
      <c r="AC10" s="462">
        <f>IF(O9="",0,O9/40.078)</f>
        <v>0</v>
      </c>
      <c r="AF10" s="393"/>
      <c r="AG10" s="393"/>
      <c r="AH10" s="393"/>
      <c r="AI10" s="393"/>
    </row>
    <row r="11" spans="2:35" ht="22.5" customHeight="1" x14ac:dyDescent="0.15">
      <c r="B11" s="892" t="s">
        <v>516</v>
      </c>
      <c r="C11" s="893"/>
      <c r="D11" s="893"/>
      <c r="E11" s="894" t="str">
        <f>AD18</f>
        <v>ヌルヌルしない</v>
      </c>
      <c r="F11" s="895"/>
      <c r="G11" s="892" t="s">
        <v>624</v>
      </c>
      <c r="H11" s="893"/>
      <c r="I11" s="898" t="str">
        <f>IF(AD24="", "―", IF(AD24&lt;=-10, "-10以下", AD24))</f>
        <v>―</v>
      </c>
      <c r="J11" s="899"/>
      <c r="L11" s="1027" t="s">
        <v>20</v>
      </c>
      <c r="M11" s="1028"/>
      <c r="N11" s="473" t="s">
        <v>451</v>
      </c>
      <c r="O11" s="421"/>
      <c r="P11" s="459" t="str">
        <f>IF(O11="","",SUM(O11/26.98154*3))</f>
        <v/>
      </c>
      <c r="Q11" s="445" t="str">
        <f t="shared" si="3"/>
        <v/>
      </c>
      <c r="R11" s="404" t="str">
        <f t="shared" si="0"/>
        <v/>
      </c>
      <c r="S11" s="454"/>
      <c r="T11" s="1029" t="s">
        <v>25</v>
      </c>
      <c r="U11" s="1030"/>
      <c r="V11" s="461" t="s">
        <v>462</v>
      </c>
      <c r="W11" s="423"/>
      <c r="X11" s="447" t="str">
        <f>IF(W11="","",SUM(W11/96.0576*2))</f>
        <v/>
      </c>
      <c r="Y11" s="445" t="str">
        <f t="shared" si="1"/>
        <v/>
      </c>
      <c r="Z11" s="407" t="str">
        <f t="shared" si="2"/>
        <v/>
      </c>
      <c r="AB11" s="438" t="s">
        <v>508</v>
      </c>
      <c r="AC11" s="462">
        <f>IF(W8="",0, W8/33.07)</f>
        <v>0</v>
      </c>
      <c r="AD11" s="438" t="s">
        <v>498</v>
      </c>
      <c r="AF11" s="393"/>
      <c r="AG11" s="393"/>
      <c r="AH11" s="393"/>
      <c r="AI11" s="393"/>
    </row>
    <row r="12" spans="2:35" s="393" customFormat="1" ht="22.5" customHeight="1" thickBot="1" x14ac:dyDescent="0.2">
      <c r="B12" s="888" t="s">
        <v>542</v>
      </c>
      <c r="C12" s="889"/>
      <c r="D12" s="889"/>
      <c r="E12" s="890" t="str">
        <f>AD21</f>
        <v>成分を入力してください</v>
      </c>
      <c r="F12" s="891"/>
      <c r="G12" s="888" t="s">
        <v>567</v>
      </c>
      <c r="H12" s="889"/>
      <c r="I12" s="922" t="s">
        <v>525</v>
      </c>
      <c r="J12" s="923"/>
      <c r="L12" s="1031" t="s">
        <v>22</v>
      </c>
      <c r="M12" s="1032"/>
      <c r="N12" s="451" t="s">
        <v>452</v>
      </c>
      <c r="O12" s="420"/>
      <c r="P12" s="452" t="str">
        <f>IF(O12="","",SUM(O12/ 137.33*2))</f>
        <v/>
      </c>
      <c r="Q12" s="453" t="str">
        <f t="shared" si="3"/>
        <v/>
      </c>
      <c r="R12" s="405" t="str">
        <f t="shared" si="0"/>
        <v/>
      </c>
      <c r="T12" s="1035" t="s">
        <v>26</v>
      </c>
      <c r="U12" s="1036"/>
      <c r="V12" s="483" t="s">
        <v>463</v>
      </c>
      <c r="W12" s="424"/>
      <c r="X12" s="456" t="str">
        <f>IF(W12="","",SUM(W12/62.005*1))</f>
        <v/>
      </c>
      <c r="Y12" s="453" t="str">
        <f t="shared" si="1"/>
        <v/>
      </c>
      <c r="Z12" s="408" t="str">
        <f t="shared" si="2"/>
        <v/>
      </c>
      <c r="AB12" s="438"/>
      <c r="AC12" s="462"/>
      <c r="AD12" s="449" t="str">
        <f>IF(OR(AD3="", AD9="", AD3=0, AD9=0), "", AD3 / (AD3 + AD9))</f>
        <v/>
      </c>
      <c r="AE12" s="428"/>
    </row>
    <row r="13" spans="2:35" ht="22.5" customHeight="1" thickBot="1" x14ac:dyDescent="0.2">
      <c r="B13" s="924" t="s">
        <v>586</v>
      </c>
      <c r="C13" s="924"/>
      <c r="D13" s="924"/>
      <c r="E13" s="924"/>
      <c r="F13" s="924"/>
      <c r="G13" s="924"/>
      <c r="H13" s="924"/>
      <c r="I13" s="924"/>
      <c r="J13" s="924"/>
      <c r="K13" s="484"/>
      <c r="L13" s="971" t="s">
        <v>24</v>
      </c>
      <c r="M13" s="972"/>
      <c r="N13" s="473" t="s">
        <v>453</v>
      </c>
      <c r="O13" s="421"/>
      <c r="P13" s="459" t="str">
        <f>IF(O13="","",SUM(O13/54.938*2))</f>
        <v/>
      </c>
      <c r="Q13" s="445" t="str">
        <f t="shared" si="3"/>
        <v/>
      </c>
      <c r="R13" s="404" t="str">
        <f t="shared" si="0"/>
        <v/>
      </c>
      <c r="S13" s="454"/>
      <c r="T13" s="1037" t="s">
        <v>300</v>
      </c>
      <c r="U13" s="1038"/>
      <c r="V13" s="485" t="s">
        <v>512</v>
      </c>
      <c r="W13" s="423"/>
      <c r="X13" s="447" t="str">
        <f>IF(W13="","",SUM(W13/96.98716*1))</f>
        <v/>
      </c>
      <c r="Y13" s="445" t="str">
        <f t="shared" si="1"/>
        <v/>
      </c>
      <c r="Z13" s="407" t="str">
        <f t="shared" si="2"/>
        <v/>
      </c>
      <c r="AB13" s="438"/>
      <c r="AC13" s="462"/>
      <c r="AF13" s="393"/>
      <c r="AG13" s="393"/>
      <c r="AH13" s="393"/>
      <c r="AI13" s="393"/>
    </row>
    <row r="14" spans="2:35" ht="22.5" customHeight="1" x14ac:dyDescent="0.15">
      <c r="B14" s="886" t="s">
        <v>515</v>
      </c>
      <c r="C14" s="918" t="s">
        <v>543</v>
      </c>
      <c r="D14" s="918"/>
      <c r="E14" s="918"/>
      <c r="F14" s="918"/>
      <c r="G14" s="918"/>
      <c r="H14" s="918"/>
      <c r="I14" s="918"/>
      <c r="J14" s="919"/>
      <c r="K14" s="412"/>
      <c r="L14" s="1031" t="s">
        <v>429</v>
      </c>
      <c r="M14" s="1032"/>
      <c r="N14" s="451" t="s">
        <v>443</v>
      </c>
      <c r="O14" s="420"/>
      <c r="P14" s="452" t="str">
        <f>IF(O14="","",SUM(O14/55.847*2))</f>
        <v/>
      </c>
      <c r="Q14" s="453" t="str">
        <f>IF(P14="","",ROUND(P14,2))</f>
        <v/>
      </c>
      <c r="R14" s="405" t="str">
        <f t="shared" si="0"/>
        <v/>
      </c>
      <c r="S14" s="460"/>
      <c r="T14" s="1033" t="s">
        <v>299</v>
      </c>
      <c r="U14" s="1034"/>
      <c r="V14" s="486" t="s">
        <v>511</v>
      </c>
      <c r="W14" s="424"/>
      <c r="X14" s="456" t="str">
        <f>IF(W14="","",SUM(W14/95.97926*2))</f>
        <v/>
      </c>
      <c r="Y14" s="453" t="str">
        <f t="shared" si="1"/>
        <v/>
      </c>
      <c r="Z14" s="408" t="str">
        <f t="shared" si="2"/>
        <v/>
      </c>
      <c r="AB14" s="438"/>
      <c r="AC14" s="449" t="str">
        <f>IF(P20="","",P20/1)</f>
        <v/>
      </c>
      <c r="AD14" s="438" t="s">
        <v>518</v>
      </c>
      <c r="AF14" s="393"/>
      <c r="AG14" s="393"/>
      <c r="AH14" s="393"/>
      <c r="AI14" s="393"/>
    </row>
    <row r="15" spans="2:35" ht="22.5" customHeight="1" thickBot="1" x14ac:dyDescent="0.2">
      <c r="B15" s="887"/>
      <c r="C15" s="920"/>
      <c r="D15" s="920"/>
      <c r="E15" s="920"/>
      <c r="F15" s="920"/>
      <c r="G15" s="920"/>
      <c r="H15" s="920"/>
      <c r="I15" s="920"/>
      <c r="J15" s="921"/>
      <c r="K15" s="487"/>
      <c r="L15" s="971" t="s">
        <v>430</v>
      </c>
      <c r="M15" s="972"/>
      <c r="N15" s="473" t="s">
        <v>550</v>
      </c>
      <c r="O15" s="421"/>
      <c r="P15" s="459" t="str">
        <f>IF(O15="","",SUM(O15/55.847*3))</f>
        <v/>
      </c>
      <c r="Q15" s="445" t="str">
        <f t="shared" si="3"/>
        <v/>
      </c>
      <c r="R15" s="404" t="str">
        <f t="shared" si="0"/>
        <v/>
      </c>
      <c r="T15" s="1019" t="s">
        <v>431</v>
      </c>
      <c r="U15" s="1020"/>
      <c r="V15" s="461" t="s">
        <v>464</v>
      </c>
      <c r="W15" s="423"/>
      <c r="X15" s="447" t="str">
        <f>IF(W15="","",SUM(W15/106.9204*1))</f>
        <v/>
      </c>
      <c r="Y15" s="445" t="str">
        <f t="shared" si="1"/>
        <v/>
      </c>
      <c r="Z15" s="407" t="str">
        <f t="shared" si="2"/>
        <v/>
      </c>
      <c r="AB15" s="438"/>
      <c r="AC15" s="449"/>
      <c r="AD15" s="449" t="str">
        <f>IF(OR(AD12="", ISBLANK(AD12)),
   "",
   IFERROR(0.3 * (1 - AD12) / (0.55 - 1.55 * AD12), 0)
)</f>
        <v/>
      </c>
      <c r="AF15" s="393"/>
      <c r="AG15" s="393"/>
      <c r="AH15" s="393"/>
      <c r="AI15" s="393"/>
    </row>
    <row r="16" spans="2:35" ht="22.5" customHeight="1" x14ac:dyDescent="0.15">
      <c r="B16" s="997" t="s">
        <v>520</v>
      </c>
      <c r="C16" s="998"/>
      <c r="D16" s="998"/>
      <c r="E16" s="998"/>
      <c r="F16" s="999"/>
      <c r="G16" s="1000" t="s">
        <v>31</v>
      </c>
      <c r="H16" s="1001"/>
      <c r="I16" s="1001"/>
      <c r="J16" s="1002"/>
      <c r="K16" s="412"/>
      <c r="L16" s="960" t="s">
        <v>27</v>
      </c>
      <c r="M16" s="961"/>
      <c r="N16" s="451" t="s">
        <v>454</v>
      </c>
      <c r="O16" s="420"/>
      <c r="P16" s="452" t="str">
        <f>IF(O16="","",SUM(O16/63.546*2))</f>
        <v/>
      </c>
      <c r="Q16" s="453" t="str">
        <f t="shared" si="3"/>
        <v/>
      </c>
      <c r="R16" s="405" t="str">
        <f t="shared" si="0"/>
        <v/>
      </c>
      <c r="S16" s="454"/>
      <c r="T16" s="1003" t="s">
        <v>28</v>
      </c>
      <c r="U16" s="1004"/>
      <c r="V16" s="488" t="s">
        <v>465</v>
      </c>
      <c r="W16" s="424"/>
      <c r="X16" s="456" t="str">
        <f>IF(W16="","",SUM(W16/61.0171*1))</f>
        <v/>
      </c>
      <c r="Y16" s="453" t="str">
        <f t="shared" si="1"/>
        <v/>
      </c>
      <c r="Z16" s="408" t="str">
        <f t="shared" si="2"/>
        <v/>
      </c>
      <c r="AB16" s="438"/>
      <c r="AC16" s="449"/>
      <c r="AF16" s="393"/>
      <c r="AG16" s="393"/>
      <c r="AH16" s="393"/>
      <c r="AI16" s="393"/>
    </row>
    <row r="17" spans="1:35" ht="22.5" customHeight="1" thickBot="1" x14ac:dyDescent="0.2">
      <c r="B17" s="1005" t="s">
        <v>526</v>
      </c>
      <c r="C17" s="1006"/>
      <c r="D17" s="1006"/>
      <c r="E17" s="1006"/>
      <c r="F17" s="1007"/>
      <c r="G17" s="1011" t="s">
        <v>480</v>
      </c>
      <c r="H17" s="1012"/>
      <c r="I17" s="1012"/>
      <c r="J17" s="1013"/>
      <c r="K17" s="412"/>
      <c r="L17" s="1017" t="s">
        <v>29</v>
      </c>
      <c r="M17" s="1018"/>
      <c r="N17" s="489" t="s">
        <v>455</v>
      </c>
      <c r="O17" s="422"/>
      <c r="P17" s="490" t="str">
        <f>IF(O17="","",SUM(O17/65.38*2))</f>
        <v/>
      </c>
      <c r="Q17" s="491" t="str">
        <f t="shared" si="3"/>
        <v/>
      </c>
      <c r="R17" s="406" t="str">
        <f t="shared" si="0"/>
        <v/>
      </c>
      <c r="S17" s="433"/>
      <c r="T17" s="1019" t="s">
        <v>30</v>
      </c>
      <c r="U17" s="1020"/>
      <c r="V17" s="492" t="s">
        <v>466</v>
      </c>
      <c r="W17" s="423"/>
      <c r="X17" s="447" t="str">
        <f>IF(W17="","",SUM(W17/60.0092*2))</f>
        <v/>
      </c>
      <c r="Y17" s="445" t="str">
        <f t="shared" si="1"/>
        <v/>
      </c>
      <c r="Z17" s="407" t="str">
        <f t="shared" si="2"/>
        <v/>
      </c>
      <c r="AB17" s="438" t="s">
        <v>569</v>
      </c>
      <c r="AC17" s="493">
        <f>IF(W16="",0, W16/61.016)</f>
        <v>0</v>
      </c>
      <c r="AD17" s="438" t="s">
        <v>499</v>
      </c>
      <c r="AF17" s="393"/>
      <c r="AG17" s="393"/>
      <c r="AH17" s="393"/>
      <c r="AI17" s="393"/>
    </row>
    <row r="18" spans="1:35" ht="22.5" customHeight="1" thickBot="1" x14ac:dyDescent="0.2">
      <c r="B18" s="1008"/>
      <c r="C18" s="1009"/>
      <c r="D18" s="1009"/>
      <c r="E18" s="1009"/>
      <c r="F18" s="1010"/>
      <c r="G18" s="1014"/>
      <c r="H18" s="1015"/>
      <c r="I18" s="1015"/>
      <c r="J18" s="1016"/>
      <c r="K18" s="412"/>
      <c r="L18" s="1021" t="s">
        <v>33</v>
      </c>
      <c r="M18" s="1022"/>
      <c r="N18" s="1022"/>
      <c r="O18" s="494" t="str">
        <f>IF(SUM(O3:O17)=0, "", SUM(O3:O17))</f>
        <v/>
      </c>
      <c r="P18" s="495">
        <f>SUM(P3:P17)</f>
        <v>0</v>
      </c>
      <c r="Q18" s="496">
        <f>SUM(Q3:Q17)</f>
        <v>0</v>
      </c>
      <c r="R18" s="418">
        <f>SUM(R3:R17)</f>
        <v>0</v>
      </c>
      <c r="S18" s="433"/>
      <c r="T18" s="1023" t="s">
        <v>475</v>
      </c>
      <c r="U18" s="1024"/>
      <c r="V18" s="497" t="s">
        <v>513</v>
      </c>
      <c r="W18" s="424"/>
      <c r="X18" s="456" t="str">
        <f>IF(W18="","",SUM(W18/77.0916*1))</f>
        <v/>
      </c>
      <c r="Y18" s="453" t="str">
        <f t="shared" si="1"/>
        <v/>
      </c>
      <c r="Z18" s="408" t="str">
        <f t="shared" si="2"/>
        <v/>
      </c>
      <c r="AB18" s="438" t="s">
        <v>509</v>
      </c>
      <c r="AC18" s="493">
        <f>IF(W17="",0,W17/17.008)</f>
        <v>0</v>
      </c>
      <c r="AD18" s="449" t="str">
        <f>IFERROR(IF(AD12&gt;0.35,"ヌルヌルしない",IF(AD9&gt;=AD15,"ヌルヌルする","ヌルヌルしない")),"成分を入力してください")</f>
        <v>ヌルヌルしない</v>
      </c>
      <c r="AF18" s="393"/>
      <c r="AG18" s="393"/>
      <c r="AH18" s="393"/>
      <c r="AI18" s="393"/>
    </row>
    <row r="19" spans="1:35" ht="22.5" customHeight="1" thickBot="1" x14ac:dyDescent="0.2">
      <c r="B19" s="990" t="s">
        <v>481</v>
      </c>
      <c r="C19" s="990"/>
      <c r="D19" s="990"/>
      <c r="E19" s="498"/>
      <c r="K19" s="499"/>
      <c r="L19" s="912" t="s">
        <v>587</v>
      </c>
      <c r="M19" s="913"/>
      <c r="N19" s="500" t="s">
        <v>554</v>
      </c>
      <c r="O19" s="501" t="str">
        <f>IF(COUNTA(O14:O15)=0, "", SUM(O14:O15))</f>
        <v/>
      </c>
      <c r="P19" s="502">
        <f>SUM(P14:P15)</f>
        <v>0</v>
      </c>
      <c r="Q19" s="503" t="str">
        <f>IF(SUM(Q14:Q15)=0, "", SUM(Q14:Q15))</f>
        <v/>
      </c>
      <c r="R19" s="504"/>
      <c r="S19" s="433"/>
      <c r="T19" s="978" t="s">
        <v>432</v>
      </c>
      <c r="U19" s="979"/>
      <c r="V19" s="505" t="s">
        <v>456</v>
      </c>
      <c r="W19" s="423"/>
      <c r="X19" s="506" t="str">
        <f>IF(W19="","",SUM(W19/42.8088*1))</f>
        <v/>
      </c>
      <c r="Y19" s="491" t="str">
        <f>IF(X19="","",ROUND(X19,2))</f>
        <v/>
      </c>
      <c r="Z19" s="409" t="str">
        <f t="shared" si="2"/>
        <v/>
      </c>
      <c r="AB19" s="438" t="s">
        <v>557</v>
      </c>
      <c r="AC19" s="493">
        <f>IF(ISNUMBER(AC21), AC21, AC22)</f>
        <v>0</v>
      </c>
      <c r="AF19" s="393"/>
      <c r="AG19" s="393"/>
      <c r="AH19" s="393"/>
      <c r="AI19" s="393"/>
    </row>
    <row r="20" spans="1:35" ht="22.5" customHeight="1" thickBot="1" x14ac:dyDescent="0.2">
      <c r="B20" s="980" t="s">
        <v>35</v>
      </c>
      <c r="C20" s="981"/>
      <c r="D20" s="401" t="s">
        <v>32</v>
      </c>
      <c r="E20" s="982" t="s">
        <v>602</v>
      </c>
      <c r="F20" s="983"/>
      <c r="G20" s="983"/>
      <c r="H20" s="983"/>
      <c r="I20" s="984"/>
      <c r="J20" s="985"/>
      <c r="K20" s="412"/>
      <c r="L20" s="986" t="s">
        <v>442</v>
      </c>
      <c r="M20" s="986"/>
      <c r="N20" s="986"/>
      <c r="O20" s="986"/>
      <c r="P20" s="986"/>
      <c r="Q20" s="986"/>
      <c r="R20" s="986"/>
      <c r="T20" s="987" t="s">
        <v>34</v>
      </c>
      <c r="U20" s="988"/>
      <c r="V20" s="989"/>
      <c r="W20" s="507" t="str">
        <f>IF(SUM(W3:W19)=0, "", SUM(W3:W19))</f>
        <v/>
      </c>
      <c r="X20" s="508">
        <f>SUM(X3:X19)</f>
        <v>0</v>
      </c>
      <c r="Y20" s="509">
        <f>SUM(Y3:Y19)</f>
        <v>0</v>
      </c>
      <c r="Z20" s="417">
        <f>SUM(Z3:Z19)</f>
        <v>0</v>
      </c>
      <c r="AB20" s="438" t="s">
        <v>510</v>
      </c>
      <c r="AC20" s="510">
        <f>IF(ISNUMBER(AC23), AC23, AC24)</f>
        <v>0</v>
      </c>
      <c r="AD20" s="438" t="s">
        <v>501</v>
      </c>
      <c r="AF20" s="393"/>
      <c r="AG20" s="393"/>
      <c r="AH20" s="393"/>
      <c r="AI20" s="393"/>
    </row>
    <row r="21" spans="1:35" ht="22.5" customHeight="1" thickBot="1" x14ac:dyDescent="0.2">
      <c r="B21" s="991" t="s">
        <v>38</v>
      </c>
      <c r="C21" s="992"/>
      <c r="D21" s="399" t="s">
        <v>32</v>
      </c>
      <c r="E21" s="993"/>
      <c r="F21" s="994"/>
      <c r="G21" s="994"/>
      <c r="H21" s="994"/>
      <c r="I21" s="995"/>
      <c r="J21" s="996"/>
      <c r="L21" s="511"/>
      <c r="M21" s="511"/>
      <c r="N21" s="512"/>
      <c r="O21" s="511"/>
      <c r="P21" s="511"/>
      <c r="Q21" s="511"/>
      <c r="R21" s="511"/>
      <c r="S21" s="511"/>
      <c r="T21" s="511"/>
      <c r="U21" s="511"/>
      <c r="AB21" s="513" t="s">
        <v>560</v>
      </c>
      <c r="AC21" s="514" t="str">
        <f>IF(ISNUMBER(W18), W18 / 92.06, "")</f>
        <v/>
      </c>
      <c r="AD21" s="449" t="str">
        <f>IF(OR(AD9="", AD15="", AD9=0, AD15=0),
   "成分を入力してください",
   IF(AD18="ヌルヌルしない",
      "✖：ヌルヌルしない",
      IF(AD9/AD15&lt;1, "✖：ヌルヌルしない",
      IF(AD9/AD15&lt;2.5, "△：ややヌルヌル",
      IF(AD9/AD15&lt;4, "◯：しっかりヌルヌル",
      IF(AD9/AD15&lt;7, "◎：強いヌルヌル",
      IF(AD9/AD15&lt;12, "★：超ヌルヌル",
         "☆：奇跡のヌルヌル"))))))
)</f>
        <v>成分を入力してください</v>
      </c>
      <c r="AF21" s="393"/>
      <c r="AG21" s="393"/>
      <c r="AH21" s="393"/>
      <c r="AI21" s="393"/>
    </row>
    <row r="22" spans="1:35" ht="22.5" customHeight="1" thickBot="1" x14ac:dyDescent="0.2">
      <c r="B22" s="931" t="s">
        <v>493</v>
      </c>
      <c r="C22" s="932"/>
      <c r="D22" s="400" t="s">
        <v>32</v>
      </c>
      <c r="E22" s="933" t="s">
        <v>603</v>
      </c>
      <c r="F22" s="934"/>
      <c r="G22" s="934"/>
      <c r="H22" s="934"/>
      <c r="I22" s="935"/>
      <c r="J22" s="936"/>
      <c r="K22" s="412"/>
      <c r="L22" s="937" t="s">
        <v>36</v>
      </c>
      <c r="M22" s="938"/>
      <c r="N22" s="939"/>
      <c r="O22" s="515" t="s">
        <v>4</v>
      </c>
      <c r="P22" s="516"/>
      <c r="Q22" s="517" t="s">
        <v>473</v>
      </c>
      <c r="R22" s="955" t="s">
        <v>37</v>
      </c>
      <c r="S22" s="956"/>
      <c r="T22" s="957"/>
      <c r="U22" s="515" t="s">
        <v>4</v>
      </c>
      <c r="W22" s="940" t="s">
        <v>304</v>
      </c>
      <c r="X22" s="941"/>
      <c r="Y22" s="941"/>
      <c r="Z22" s="942"/>
      <c r="AB22" s="513" t="s">
        <v>561</v>
      </c>
      <c r="AC22" s="518">
        <f>IF(AND(AC21&lt;&gt;"", AC21&gt;0), "", MAX(0, IF(AND(ISNUMBER(O23), ISNUMBER(H6)), (O23 / 78.1) * (1 / (1 + 10^(9.6 - H6))), 0)))</f>
        <v>0</v>
      </c>
      <c r="AF22" s="393"/>
      <c r="AG22" s="393"/>
    </row>
    <row r="23" spans="1:35" ht="22.5" customHeight="1" thickTop="1" thickBot="1" x14ac:dyDescent="0.2">
      <c r="B23" s="943" t="s">
        <v>41</v>
      </c>
      <c r="C23" s="944"/>
      <c r="D23" s="402" t="s">
        <v>592</v>
      </c>
      <c r="E23" s="945" t="s">
        <v>574</v>
      </c>
      <c r="F23" s="946"/>
      <c r="G23" s="946"/>
      <c r="H23" s="946"/>
      <c r="I23" s="947"/>
      <c r="J23" s="948"/>
      <c r="K23" s="412"/>
      <c r="L23" s="949" t="s">
        <v>555</v>
      </c>
      <c r="M23" s="950"/>
      <c r="N23" s="519" t="s">
        <v>548</v>
      </c>
      <c r="O23" s="413"/>
      <c r="P23" s="520" t="s">
        <v>177</v>
      </c>
      <c r="Q23" s="521"/>
      <c r="R23" s="951" t="s">
        <v>578</v>
      </c>
      <c r="S23" s="952"/>
      <c r="T23" s="522" t="s">
        <v>584</v>
      </c>
      <c r="U23" s="413"/>
      <c r="W23" s="953">
        <f>SUM(O18,W20,O26)</f>
        <v>0</v>
      </c>
      <c r="X23" s="954"/>
      <c r="Y23" s="954"/>
      <c r="Z23" s="523" t="s">
        <v>302</v>
      </c>
      <c r="AB23" s="524" t="s">
        <v>558</v>
      </c>
      <c r="AC23" s="525" t="str">
        <f>IF(ISNUMBER(W19), W19 / 59.76, "")</f>
        <v/>
      </c>
      <c r="AD23" s="438" t="s">
        <v>517</v>
      </c>
      <c r="AF23" s="393"/>
      <c r="AG23" s="393"/>
      <c r="AH23" s="393"/>
      <c r="AI23" s="393"/>
    </row>
    <row r="24" spans="1:35" ht="22.5" customHeight="1" thickBot="1" x14ac:dyDescent="0.2">
      <c r="K24" s="412"/>
      <c r="L24" s="960" t="s">
        <v>544</v>
      </c>
      <c r="M24" s="961"/>
      <c r="N24" s="526" t="s">
        <v>546</v>
      </c>
      <c r="O24" s="414"/>
      <c r="P24" s="527" t="s">
        <v>289</v>
      </c>
      <c r="Q24" s="528"/>
      <c r="R24" s="962" t="s">
        <v>577</v>
      </c>
      <c r="S24" s="963"/>
      <c r="T24" s="529" t="s">
        <v>549</v>
      </c>
      <c r="U24" s="414"/>
      <c r="W24" s="964" t="str">
        <f>IF(W23&gt;=10000,"高張性",IF(W23&gt;=8000,"等張性","低張性"))</f>
        <v>低張性</v>
      </c>
      <c r="X24" s="965"/>
      <c r="Y24" s="965"/>
      <c r="Z24" s="966"/>
      <c r="AB24" s="524" t="s">
        <v>559</v>
      </c>
      <c r="AC24" s="530">
        <f>IF(AND(AC23&lt;&gt;"", AC23&gt;0), "", MAX(0, IF(AND(ISNUMBER(O24), ISNUMBER(H6)), (O24 / 61.83) * (1 / (1 + 10^(9.25 - H6))), 0)))</f>
        <v>0</v>
      </c>
      <c r="AD24" s="531" t="str">
        <f>IF(OR(AD9="", AD15="", AD9=0, AD15=0), "",
   IF(AD20="ヌルヌルしない", 0, AD9 / AD15)
)</f>
        <v/>
      </c>
      <c r="AF24" s="393"/>
      <c r="AG24" s="393"/>
      <c r="AH24" s="393"/>
      <c r="AI24" s="393"/>
    </row>
    <row r="25" spans="1:35" ht="22.5" customHeight="1" thickBot="1" x14ac:dyDescent="0.2">
      <c r="B25" s="967" t="s">
        <v>470</v>
      </c>
      <c r="C25" s="968"/>
      <c r="D25" s="397" t="s">
        <v>573</v>
      </c>
      <c r="E25" s="532" t="s">
        <v>469</v>
      </c>
      <c r="F25" s="969" t="s">
        <v>471</v>
      </c>
      <c r="G25" s="970"/>
      <c r="H25" s="929" t="s">
        <v>483</v>
      </c>
      <c r="I25" s="929"/>
      <c r="J25" s="533" t="s">
        <v>469</v>
      </c>
      <c r="K25" s="412"/>
      <c r="L25" s="971" t="s">
        <v>545</v>
      </c>
      <c r="M25" s="972"/>
      <c r="N25" s="534" t="s">
        <v>547</v>
      </c>
      <c r="O25" s="415"/>
      <c r="P25" s="535"/>
      <c r="Q25" s="535"/>
      <c r="R25" s="973" t="s">
        <v>43</v>
      </c>
      <c r="S25" s="974"/>
      <c r="T25" s="975"/>
      <c r="U25" s="536" t="str">
        <f>IF(SUM(U23:U24)=0, "", SUM(U23:U24))</f>
        <v/>
      </c>
      <c r="W25" s="940" t="s">
        <v>303</v>
      </c>
      <c r="X25" s="941"/>
      <c r="Y25" s="941"/>
      <c r="Z25" s="942"/>
      <c r="AB25" s="559" t="s">
        <v>633</v>
      </c>
      <c r="AC25" s="537">
        <f>IF(AND(ISNUMBER(D6), ISNUMBER(AC8)),
   _xlfn.LET(
      _xlpm.metaSi, IF(OR(AC21="", AC21=0), AC22, AC21),
      _xlpm.metaB, IF(OR(AC23="", AC23=0), AC24, AC23),
      _xlpm.baseValue, AC8 + AC11 + AC18 + _xlpm.metaSi + 0.18 * _xlpm.metaB + 0.1 * AC17,
      IF(AB25="補正しない",
         _xlpm.baseValue,
         IF(AB25="強制温度補正する",
            _xlpm.baseValue * (1 + 0.006 * (D6 - 42)),
            IF(AND(OR(D20="なし", D20="一部有"), OR(D21="なし", D21="一部有")),
               _xlpm.baseValue,
               IF(D20="有",
                  _xlpm.baseValue * MAX(0.7, 1 - 0.006 * (D6 - 42)),
                  IF(D21="有",
                     _xlpm.baseValue * (1 + 0.006 * (42 - D6)),
                     _xlpm.baseValue * (1 + 0.006 * (D6 - 42))
                  )
               )
            )
         )
      )
   ),
   ""
)</f>
        <v>9.9999999999999991E-5</v>
      </c>
    </row>
    <row r="26" spans="1:35" ht="22.5" customHeight="1" thickBot="1" x14ac:dyDescent="0.2">
      <c r="B26" s="901" t="s">
        <v>551</v>
      </c>
      <c r="C26" s="902"/>
      <c r="D26" s="398" t="s">
        <v>482</v>
      </c>
      <c r="E26" s="538" t="s">
        <v>469</v>
      </c>
      <c r="F26" s="903" t="s">
        <v>472</v>
      </c>
      <c r="G26" s="904"/>
      <c r="H26" s="930" t="s">
        <v>570</v>
      </c>
      <c r="I26" s="930"/>
      <c r="J26" s="558" t="s">
        <v>469</v>
      </c>
      <c r="K26" s="412"/>
      <c r="L26" s="905" t="s">
        <v>42</v>
      </c>
      <c r="M26" s="906"/>
      <c r="N26" s="907"/>
      <c r="O26" s="536" t="str">
        <f>IF(SUM(O23:O25)=0, "", SUM(O23:O25))</f>
        <v/>
      </c>
      <c r="P26" s="539" t="s">
        <v>194</v>
      </c>
      <c r="Q26" s="467"/>
      <c r="R26" s="908" t="s">
        <v>579</v>
      </c>
      <c r="S26" s="909"/>
      <c r="T26" s="540" t="s">
        <v>479</v>
      </c>
      <c r="U26" s="541" t="str">
        <f>IF(AND(W8="", U24="", W9=""), "", W8*32.06/33.0679 + U24*32.06/34.0758 + W9*32.06*2/112.1182)</f>
        <v/>
      </c>
      <c r="W26" s="958">
        <f>SUM(O18,W20,O26,U25)</f>
        <v>0</v>
      </c>
      <c r="X26" s="959"/>
      <c r="Y26" s="959"/>
      <c r="Z26" s="523" t="s">
        <v>302</v>
      </c>
    </row>
    <row r="27" spans="1:35" ht="22.5" customHeight="1" thickBot="1" x14ac:dyDescent="0.2">
      <c r="K27" s="542"/>
      <c r="T27" s="394" t="s">
        <v>478</v>
      </c>
      <c r="V27" s="392"/>
      <c r="W27" s="671" t="s">
        <v>632</v>
      </c>
      <c r="X27" s="672"/>
      <c r="Y27" s="976" t="s">
        <v>601</v>
      </c>
      <c r="Z27" s="977"/>
    </row>
    <row r="28" spans="1:35" ht="22.5" customHeight="1" x14ac:dyDescent="0.15">
      <c r="B28" s="900" t="s">
        <v>589</v>
      </c>
      <c r="C28" s="900"/>
      <c r="D28" s="900"/>
      <c r="E28" s="900"/>
      <c r="F28" s="900"/>
      <c r="G28" s="900"/>
      <c r="H28" s="900"/>
      <c r="I28" s="900"/>
      <c r="J28" s="900"/>
      <c r="K28" s="396"/>
      <c r="L28" s="1083" t="s">
        <v>491</v>
      </c>
      <c r="M28" s="1084"/>
      <c r="N28" s="1087" t="s">
        <v>562</v>
      </c>
      <c r="O28" s="543" t="s">
        <v>484</v>
      </c>
      <c r="P28" s="543" t="s">
        <v>486</v>
      </c>
      <c r="Q28" s="1087" t="s">
        <v>486</v>
      </c>
      <c r="R28" s="1093" t="s">
        <v>489</v>
      </c>
      <c r="S28" s="1094"/>
      <c r="T28" s="1079" t="s">
        <v>490</v>
      </c>
      <c r="U28" s="1080"/>
      <c r="V28" s="392"/>
      <c r="W28" s="392" t="s">
        <v>480</v>
      </c>
      <c r="X28" s="392"/>
      <c r="Y28" s="392" t="s">
        <v>556</v>
      </c>
      <c r="Z28" s="392" t="s">
        <v>563</v>
      </c>
      <c r="AB28" s="885" t="s">
        <v>571</v>
      </c>
      <c r="AC28" s="885"/>
      <c r="AD28" s="885"/>
    </row>
    <row r="29" spans="1:35" ht="22.5" customHeight="1" x14ac:dyDescent="0.15">
      <c r="B29" s="900"/>
      <c r="C29" s="900"/>
      <c r="D29" s="900"/>
      <c r="E29" s="900"/>
      <c r="F29" s="900"/>
      <c r="G29" s="900"/>
      <c r="H29" s="900"/>
      <c r="I29" s="900"/>
      <c r="J29" s="900"/>
      <c r="L29" s="1085"/>
      <c r="M29" s="1086"/>
      <c r="N29" s="1088"/>
      <c r="O29" s="544">
        <v>9.9999999999999995E-7</v>
      </c>
      <c r="P29" s="544"/>
      <c r="Q29" s="1088"/>
      <c r="R29" s="1095"/>
      <c r="S29" s="1096"/>
      <c r="T29" s="1081"/>
      <c r="U29" s="1082"/>
      <c r="W29" s="545" t="s">
        <v>585</v>
      </c>
      <c r="Y29" s="392" t="s">
        <v>472</v>
      </c>
      <c r="Z29" s="394" t="s">
        <v>564</v>
      </c>
    </row>
    <row r="30" spans="1:35" s="393" customFormat="1" ht="22.5" customHeight="1" x14ac:dyDescent="0.15">
      <c r="A30" s="392"/>
      <c r="B30" s="900"/>
      <c r="C30" s="900"/>
      <c r="D30" s="900"/>
      <c r="E30" s="900"/>
      <c r="F30" s="900"/>
      <c r="G30" s="900"/>
      <c r="H30" s="900"/>
      <c r="I30" s="900"/>
      <c r="J30" s="900"/>
      <c r="L30" s="910" t="s">
        <v>485</v>
      </c>
      <c r="M30" s="911"/>
      <c r="N30" s="546">
        <f>SUM(W9)</f>
        <v>0</v>
      </c>
      <c r="O30" s="547">
        <f>SUM(N30*O29)</f>
        <v>0</v>
      </c>
      <c r="P30" s="548">
        <v>8.9182760000000005</v>
      </c>
      <c r="Q30" s="548">
        <v>8.9182760000000005</v>
      </c>
      <c r="R30" s="1097">
        <f>SUM(O30*Q30)</f>
        <v>0</v>
      </c>
      <c r="S30" s="1098"/>
      <c r="T30" s="925">
        <f>SUM(R30:S31)</f>
        <v>0</v>
      </c>
      <c r="U30" s="926"/>
      <c r="V30" s="394"/>
      <c r="W30" s="545" t="s">
        <v>524</v>
      </c>
      <c r="X30" s="394"/>
      <c r="Y30" s="549"/>
      <c r="Z30" s="394" t="s">
        <v>565</v>
      </c>
      <c r="AC30" s="392"/>
      <c r="AD30" s="560" t="s">
        <v>623</v>
      </c>
      <c r="AE30" s="428"/>
      <c r="AF30" s="392"/>
      <c r="AG30" s="392"/>
      <c r="AH30" s="392"/>
      <c r="AI30" s="392"/>
    </row>
    <row r="31" spans="1:35" ht="22.5" customHeight="1" x14ac:dyDescent="0.15">
      <c r="L31" s="1089" t="s">
        <v>487</v>
      </c>
      <c r="M31" s="1090"/>
      <c r="N31" s="551">
        <f>SUM(W8)</f>
        <v>0</v>
      </c>
      <c r="O31" s="552">
        <f>SUM(N31*O29)</f>
        <v>0</v>
      </c>
      <c r="P31" s="550">
        <v>10.19591</v>
      </c>
      <c r="Q31" s="550">
        <v>30.235690000000002</v>
      </c>
      <c r="R31" s="1097">
        <f>SUM(O31*Q31)</f>
        <v>0</v>
      </c>
      <c r="S31" s="1098"/>
      <c r="T31" s="927"/>
      <c r="U31" s="928"/>
      <c r="W31" s="553"/>
      <c r="X31" s="553"/>
      <c r="Y31" s="553"/>
      <c r="Z31" s="553" t="s">
        <v>566</v>
      </c>
      <c r="AC31" s="393"/>
      <c r="AD31" s="1059">
        <v>45853</v>
      </c>
      <c r="AF31" s="393"/>
      <c r="AG31" s="393"/>
      <c r="AH31" s="393"/>
      <c r="AI31" s="393"/>
    </row>
    <row r="32" spans="1:35" ht="22.5" customHeight="1" thickBot="1" x14ac:dyDescent="0.2">
      <c r="A32" s="393"/>
      <c r="B32" s="869" t="s">
        <v>492</v>
      </c>
      <c r="C32" s="872" t="s">
        <v>527</v>
      </c>
      <c r="D32" s="872"/>
      <c r="E32" s="872"/>
      <c r="F32" s="872"/>
      <c r="G32" s="872"/>
      <c r="L32" s="1091" t="s">
        <v>488</v>
      </c>
      <c r="M32" s="1092"/>
      <c r="N32" s="555">
        <f>SUM(U24)</f>
        <v>0</v>
      </c>
      <c r="O32" s="556">
        <f>SUM(O29*N32)</f>
        <v>0</v>
      </c>
      <c r="P32" s="554">
        <v>29.341950000000001</v>
      </c>
      <c r="Q32" s="554">
        <v>29.341950000000001</v>
      </c>
      <c r="R32" s="1099">
        <f t="shared" ref="R32" si="4">SUM(O32*Q32)</f>
        <v>0</v>
      </c>
      <c r="S32" s="1100"/>
      <c r="T32" s="1077">
        <f>SUM(R32)</f>
        <v>0</v>
      </c>
      <c r="U32" s="1078"/>
      <c r="Z32" s="394" t="s">
        <v>525</v>
      </c>
      <c r="AD32" s="1059"/>
    </row>
    <row r="33" spans="2:31" ht="22.5" customHeight="1" x14ac:dyDescent="0.15">
      <c r="B33" s="869"/>
      <c r="C33" s="872"/>
      <c r="D33" s="872"/>
      <c r="E33" s="872"/>
      <c r="F33" s="872"/>
      <c r="G33" s="872"/>
      <c r="Y33" s="393"/>
      <c r="Z33" s="392"/>
      <c r="AA33" s="393"/>
      <c r="AB33" s="392"/>
      <c r="AD33" s="549"/>
    </row>
    <row r="34" spans="2:31" ht="22.5" customHeight="1" x14ac:dyDescent="0.15">
      <c r="B34" s="871" t="s">
        <v>528</v>
      </c>
      <c r="C34" s="872" t="s">
        <v>526</v>
      </c>
      <c r="D34" s="872"/>
      <c r="E34" s="872"/>
      <c r="F34" s="872"/>
      <c r="G34" s="872"/>
      <c r="K34" s="393"/>
      <c r="V34" s="549"/>
      <c r="W34" s="392"/>
      <c r="X34" s="392"/>
      <c r="Y34" s="392"/>
      <c r="Z34" s="392"/>
      <c r="AB34" s="392"/>
      <c r="AD34" s="392"/>
    </row>
    <row r="35" spans="2:31" ht="22.5" customHeight="1" x14ac:dyDescent="0.15">
      <c r="B35" s="869"/>
      <c r="C35" s="872"/>
      <c r="D35" s="872"/>
      <c r="E35" s="872"/>
      <c r="F35" s="872"/>
      <c r="G35" s="872"/>
      <c r="K35" s="395"/>
      <c r="L35" s="394"/>
      <c r="M35" s="394"/>
      <c r="N35" s="394"/>
      <c r="V35" s="392"/>
      <c r="W35" s="392"/>
      <c r="X35" s="392"/>
      <c r="Y35" s="392"/>
      <c r="Z35" s="392"/>
      <c r="AB35" s="392"/>
      <c r="AD35" s="392"/>
    </row>
    <row r="36" spans="2:31" ht="22.5" customHeight="1" x14ac:dyDescent="0.15">
      <c r="B36" s="871" t="s">
        <v>529</v>
      </c>
      <c r="C36" s="872" t="s">
        <v>537</v>
      </c>
      <c r="D36" s="872"/>
      <c r="E36" s="872"/>
      <c r="F36" s="872"/>
      <c r="G36" s="872"/>
      <c r="K36" s="395"/>
      <c r="L36" s="394"/>
      <c r="M36" s="394"/>
      <c r="N36" s="394"/>
      <c r="V36" s="392"/>
      <c r="W36" s="392"/>
      <c r="X36" s="392"/>
      <c r="Y36" s="392"/>
      <c r="Z36" s="392"/>
      <c r="AB36" s="392"/>
      <c r="AD36" s="392"/>
    </row>
    <row r="37" spans="2:31" ht="22.5" customHeight="1" x14ac:dyDescent="0.15">
      <c r="B37" s="869"/>
      <c r="C37" s="872"/>
      <c r="D37" s="872"/>
      <c r="E37" s="872"/>
      <c r="F37" s="872"/>
      <c r="G37" s="872"/>
      <c r="I37" s="394"/>
      <c r="J37" s="394"/>
      <c r="K37" s="394"/>
      <c r="L37" s="394"/>
      <c r="M37" s="394"/>
      <c r="N37" s="394"/>
      <c r="S37" s="392"/>
      <c r="T37" s="392"/>
      <c r="U37" s="392"/>
      <c r="V37" s="392"/>
      <c r="W37" s="392"/>
      <c r="X37" s="392"/>
      <c r="Y37" s="392"/>
      <c r="Z37" s="392"/>
      <c r="AB37" s="428"/>
      <c r="AD37" s="392"/>
      <c r="AE37" s="392"/>
    </row>
    <row r="38" spans="2:31" ht="22.5" customHeight="1" x14ac:dyDescent="0.15">
      <c r="B38" s="871" t="s">
        <v>531</v>
      </c>
      <c r="C38" s="870" t="s">
        <v>535</v>
      </c>
      <c r="D38" s="870"/>
      <c r="E38" s="870"/>
      <c r="F38" s="870"/>
      <c r="G38" s="870"/>
      <c r="I38" s="394"/>
      <c r="J38" s="394"/>
      <c r="K38" s="394"/>
      <c r="L38" s="394"/>
      <c r="M38" s="394"/>
      <c r="N38" s="394"/>
      <c r="S38" s="392"/>
      <c r="T38" s="392"/>
      <c r="U38" s="392"/>
      <c r="V38" s="392"/>
      <c r="W38" s="392"/>
      <c r="X38" s="392"/>
      <c r="Y38" s="392"/>
      <c r="Z38" s="392"/>
      <c r="AB38" s="428"/>
      <c r="AD38" s="392"/>
      <c r="AE38" s="392"/>
    </row>
    <row r="39" spans="2:31" ht="22.5" customHeight="1" x14ac:dyDescent="0.15">
      <c r="B39" s="869"/>
      <c r="C39" s="870"/>
      <c r="D39" s="870"/>
      <c r="E39" s="870"/>
      <c r="F39" s="870"/>
      <c r="G39" s="870"/>
      <c r="K39" s="395"/>
      <c r="L39" s="394"/>
      <c r="M39" s="394"/>
      <c r="N39" s="394"/>
      <c r="V39" s="392"/>
      <c r="W39" s="392"/>
      <c r="X39" s="392"/>
      <c r="Y39" s="392"/>
      <c r="Z39" s="392"/>
      <c r="AB39" s="392"/>
      <c r="AD39" s="392"/>
    </row>
    <row r="40" spans="2:31" ht="22.5" customHeight="1" x14ac:dyDescent="0.15">
      <c r="B40" s="869" t="s">
        <v>533</v>
      </c>
      <c r="C40" s="870" t="s">
        <v>532</v>
      </c>
      <c r="D40" s="870"/>
      <c r="E40" s="870"/>
      <c r="F40" s="870"/>
      <c r="G40" s="870"/>
      <c r="Y40" s="393"/>
      <c r="Z40" s="392"/>
      <c r="AA40" s="393"/>
      <c r="AB40" s="392"/>
      <c r="AD40" s="549"/>
    </row>
    <row r="41" spans="2:31" ht="22.5" customHeight="1" x14ac:dyDescent="0.15">
      <c r="B41" s="869"/>
      <c r="C41" s="870"/>
      <c r="D41" s="870"/>
      <c r="E41" s="870"/>
      <c r="F41" s="870"/>
      <c r="G41" s="870"/>
    </row>
    <row r="42" spans="2:31" ht="22.5" customHeight="1" x14ac:dyDescent="0.15">
      <c r="B42" s="869" t="s">
        <v>534</v>
      </c>
      <c r="C42" s="870" t="s">
        <v>538</v>
      </c>
      <c r="D42" s="870"/>
      <c r="E42" s="870"/>
      <c r="F42" s="870"/>
      <c r="G42" s="870"/>
    </row>
    <row r="43" spans="2:31" ht="22.5" customHeight="1" x14ac:dyDescent="0.15">
      <c r="B43" s="869"/>
      <c r="C43" s="870"/>
      <c r="D43" s="870"/>
      <c r="E43" s="870"/>
      <c r="F43" s="870"/>
      <c r="G43" s="870"/>
    </row>
    <row r="44" spans="2:31" ht="22.5" customHeight="1" x14ac:dyDescent="0.15">
      <c r="B44" s="871" t="s">
        <v>530</v>
      </c>
      <c r="C44" s="872" t="s">
        <v>536</v>
      </c>
      <c r="D44" s="872"/>
      <c r="E44" s="872"/>
      <c r="F44" s="872"/>
      <c r="G44" s="872"/>
    </row>
    <row r="45" spans="2:31" ht="22.5" customHeight="1" x14ac:dyDescent="0.15">
      <c r="B45" s="869"/>
      <c r="C45" s="872"/>
      <c r="D45" s="872"/>
      <c r="E45" s="872"/>
      <c r="F45" s="872"/>
      <c r="G45" s="872"/>
    </row>
  </sheetData>
  <sheetProtection sheet="1" formatCells="0"/>
  <mergeCells count="130">
    <mergeCell ref="AB28:AD28"/>
    <mergeCell ref="AD31:AD32"/>
    <mergeCell ref="L2:N2"/>
    <mergeCell ref="T2:V2"/>
    <mergeCell ref="L3:M3"/>
    <mergeCell ref="T3:U3"/>
    <mergeCell ref="C3:D3"/>
    <mergeCell ref="F3:G3"/>
    <mergeCell ref="C2:J2"/>
    <mergeCell ref="I3:J3"/>
    <mergeCell ref="T32:U32"/>
    <mergeCell ref="T28:U29"/>
    <mergeCell ref="L28:M29"/>
    <mergeCell ref="N28:N29"/>
    <mergeCell ref="L31:M31"/>
    <mergeCell ref="L32:M32"/>
    <mergeCell ref="Q28:Q29"/>
    <mergeCell ref="R28:S29"/>
    <mergeCell ref="R30:S30"/>
    <mergeCell ref="R31:S31"/>
    <mergeCell ref="R32:S32"/>
    <mergeCell ref="B4:C5"/>
    <mergeCell ref="L4:M4"/>
    <mergeCell ref="T4:U4"/>
    <mergeCell ref="L5:M5"/>
    <mergeCell ref="T5:U5"/>
    <mergeCell ref="B6:C6"/>
    <mergeCell ref="L6:M6"/>
    <mergeCell ref="T6:U6"/>
    <mergeCell ref="D4:J4"/>
    <mergeCell ref="D5:J5"/>
    <mergeCell ref="H6:I6"/>
    <mergeCell ref="L7:M7"/>
    <mergeCell ref="T7:U7"/>
    <mergeCell ref="B9:C9"/>
    <mergeCell ref="L9:M9"/>
    <mergeCell ref="T9:U9"/>
    <mergeCell ref="B8:C8"/>
    <mergeCell ref="D8:E8"/>
    <mergeCell ref="F8:G8"/>
    <mergeCell ref="L8:M8"/>
    <mergeCell ref="T8:U8"/>
    <mergeCell ref="H8:I8"/>
    <mergeCell ref="T10:U10"/>
    <mergeCell ref="L11:M11"/>
    <mergeCell ref="T11:U11"/>
    <mergeCell ref="L14:M14"/>
    <mergeCell ref="T14:U14"/>
    <mergeCell ref="L15:M15"/>
    <mergeCell ref="T15:U15"/>
    <mergeCell ref="L12:M12"/>
    <mergeCell ref="T12:U12"/>
    <mergeCell ref="L13:M13"/>
    <mergeCell ref="T13:U13"/>
    <mergeCell ref="T19:U19"/>
    <mergeCell ref="B20:C20"/>
    <mergeCell ref="E20:J20"/>
    <mergeCell ref="L20:R20"/>
    <mergeCell ref="T20:V20"/>
    <mergeCell ref="B19:D19"/>
    <mergeCell ref="B21:C21"/>
    <mergeCell ref="E21:J21"/>
    <mergeCell ref="B16:F16"/>
    <mergeCell ref="G16:J16"/>
    <mergeCell ref="L16:M16"/>
    <mergeCell ref="T16:U16"/>
    <mergeCell ref="B17:F18"/>
    <mergeCell ref="G17:J18"/>
    <mergeCell ref="L17:M17"/>
    <mergeCell ref="T17:U17"/>
    <mergeCell ref="L18:N18"/>
    <mergeCell ref="T18:U18"/>
    <mergeCell ref="T30:U31"/>
    <mergeCell ref="H25:I25"/>
    <mergeCell ref="H26:I26"/>
    <mergeCell ref="B22:C22"/>
    <mergeCell ref="E22:J22"/>
    <mergeCell ref="L22:N22"/>
    <mergeCell ref="W22:Z22"/>
    <mergeCell ref="B23:C23"/>
    <mergeCell ref="E23:J23"/>
    <mergeCell ref="L23:M23"/>
    <mergeCell ref="R23:S23"/>
    <mergeCell ref="W23:Y23"/>
    <mergeCell ref="R22:T22"/>
    <mergeCell ref="W26:Y26"/>
    <mergeCell ref="L24:M24"/>
    <mergeCell ref="R24:S24"/>
    <mergeCell ref="W24:Z24"/>
    <mergeCell ref="B25:C25"/>
    <mergeCell ref="F25:G25"/>
    <mergeCell ref="L25:M25"/>
    <mergeCell ref="R25:T25"/>
    <mergeCell ref="W25:Z25"/>
    <mergeCell ref="Y27:Z27"/>
    <mergeCell ref="D10:J10"/>
    <mergeCell ref="G11:H11"/>
    <mergeCell ref="I11:J11"/>
    <mergeCell ref="B28:J30"/>
    <mergeCell ref="B26:C26"/>
    <mergeCell ref="F26:G26"/>
    <mergeCell ref="L26:N26"/>
    <mergeCell ref="R26:S26"/>
    <mergeCell ref="L30:M30"/>
    <mergeCell ref="L19:M19"/>
    <mergeCell ref="B10:C10"/>
    <mergeCell ref="L10:M10"/>
    <mergeCell ref="C14:J15"/>
    <mergeCell ref="G12:H12"/>
    <mergeCell ref="I12:J12"/>
    <mergeCell ref="B13:J13"/>
    <mergeCell ref="B44:B45"/>
    <mergeCell ref="C44:G45"/>
    <mergeCell ref="B36:B37"/>
    <mergeCell ref="C36:G37"/>
    <mergeCell ref="B14:B15"/>
    <mergeCell ref="B12:D12"/>
    <mergeCell ref="E12:F12"/>
    <mergeCell ref="B11:D11"/>
    <mergeCell ref="E11:F11"/>
    <mergeCell ref="C40:G41"/>
    <mergeCell ref="B40:B41"/>
    <mergeCell ref="B38:B39"/>
    <mergeCell ref="C38:G39"/>
    <mergeCell ref="B42:B43"/>
    <mergeCell ref="C42:G43"/>
    <mergeCell ref="B32:B33"/>
    <mergeCell ref="C32:G33"/>
    <mergeCell ref="B34:B35"/>
    <mergeCell ref="C34:G35"/>
  </mergeCells>
  <phoneticPr fontId="100"/>
  <conditionalFormatting sqref="B6:F6">
    <cfRule type="expression" dxfId="10" priority="8">
      <formula>$F6="冷鉱泉"</formula>
    </cfRule>
    <cfRule type="expression" dxfId="9" priority="9">
      <formula>$F6="低温泉"</formula>
    </cfRule>
    <cfRule type="expression" dxfId="8" priority="10">
      <formula>$F6="温泉"</formula>
    </cfRule>
    <cfRule type="expression" dxfId="7" priority="11">
      <formula>$F6="高温泉"</formula>
    </cfRule>
  </conditionalFormatting>
  <conditionalFormatting sqref="G6:J6">
    <cfRule type="expression" dxfId="6" priority="1">
      <formula>$J6="強アルカリ性"</formula>
    </cfRule>
    <cfRule type="expression" dxfId="5" priority="2">
      <formula>$J6="アルカリ性"</formula>
    </cfRule>
    <cfRule type="expression" dxfId="4" priority="3">
      <formula>$J6="弱アルカリ性"</formula>
    </cfRule>
    <cfRule type="expression" dxfId="3" priority="4">
      <formula>$J6="中性"</formula>
    </cfRule>
    <cfRule type="expression" dxfId="2" priority="5">
      <formula>$J6="弱酸性"</formula>
    </cfRule>
    <cfRule type="expression" dxfId="1" priority="6">
      <formula>$J6="酸性"</formula>
    </cfRule>
    <cfRule type="expression" dxfId="0" priority="7">
      <formula>$J6="強酸性"</formula>
    </cfRule>
  </conditionalFormatting>
  <conditionalFormatting sqref="T30:U32">
    <cfRule type="colorScale" priority="16">
      <colorScale>
        <cfvo type="min"/>
        <cfvo type="percentile" val="50"/>
        <cfvo type="max"/>
        <color theme="0"/>
        <color rgb="FFFFEB84"/>
        <color theme="7" tint="0.79998168889431442"/>
      </colorScale>
    </cfRule>
    <cfRule type="aboveAverage" priority="17"/>
  </conditionalFormatting>
  <dataValidations count="9">
    <dataValidation allowBlank="1" showInputMessage="1" showErrorMessage="1" sqref="J6" xr:uid="{C0C977B2-A46B-4C90-B2B6-B900205EB7E8}"/>
    <dataValidation type="list" allowBlank="1" showInputMessage="1" showErrorMessage="1" sqref="G18 H17:I18" xr:uid="{EB4684B3-DC19-4797-BCEC-A99084708C25}">
      <formula1>AC3:AC5</formula1>
    </dataValidation>
    <dataValidation type="list" allowBlank="1" showInputMessage="1" showErrorMessage="1" sqref="G17" xr:uid="{538A1219-086F-48DB-A5AF-41DAE805020B}">
      <formula1>W28:W30</formula1>
    </dataValidation>
    <dataValidation type="list" allowBlank="1" showInputMessage="1" showErrorMessage="1" sqref="J17:J18" xr:uid="{7F77E406-F043-4DE0-A55A-D91645A6DA8D}">
      <formula1>AE3:AE5</formula1>
    </dataValidation>
    <dataValidation type="list" allowBlank="1" showInputMessage="1" showErrorMessage="1" sqref="F26:G26" xr:uid="{0FA7444D-0ACA-4293-B988-70E4E3F9022A}">
      <formula1>$Y$28:$Y$29</formula1>
    </dataValidation>
    <dataValidation type="list" allowBlank="1" showInputMessage="1" showErrorMessage="1" sqref="J8" xr:uid="{E4AE8DE4-107D-41C8-846D-4FF57215915C}">
      <formula1>"(ｍS/m),(S/m)"</formula1>
    </dataValidation>
    <dataValidation type="list" allowBlank="1" showInputMessage="1" showErrorMessage="1" sqref="I12:J12" xr:uid="{01D52E03-92D1-4BA1-99ED-E585CAEBFC6B}">
      <formula1>$Z$28:$Z$32</formula1>
    </dataValidation>
    <dataValidation type="list" allowBlank="1" showInputMessage="1" showErrorMessage="1" sqref="AB25" xr:uid="{85460843-229E-45E3-97BA-75B37ECA6297}">
      <formula1>"補正しない,補正する(自動補正),強制温度補正する"</formula1>
    </dataValidation>
    <dataValidation type="list" allowBlank="1" showInputMessage="1" showErrorMessage="1" sqref="D21:D23 D20" xr:uid="{9E7FE085-50C5-4EFE-9509-E992AC4FCEA5}">
      <formula1>"有,なし,一部有"</formula1>
    </dataValidation>
  </dataValidations>
  <pageMargins left="0.69930555555555596" right="0.69930555555555596" top="0.75" bottom="0.75" header="0.3" footer="0.3"/>
  <pageSetup paperSize="9" scale="3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43"/>
  <sheetViews>
    <sheetView zoomScaleNormal="100" workbookViewId="0">
      <selection activeCell="D13" sqref="D13:E13"/>
    </sheetView>
  </sheetViews>
  <sheetFormatPr defaultColWidth="9.125" defaultRowHeight="21" customHeight="1" x14ac:dyDescent="0.15"/>
  <cols>
    <col min="1" max="1" width="0.25" style="209" customWidth="1"/>
    <col min="2" max="2" width="1.875" style="209" customWidth="1"/>
    <col min="3" max="3" width="5.125" style="209" customWidth="1"/>
    <col min="4" max="4" width="14.25" style="209" customWidth="1"/>
    <col min="5" max="5" width="9.875" style="209" bestFit="1" customWidth="1"/>
    <col min="6" max="6" width="6.625" style="205" customWidth="1"/>
    <col min="7" max="7" width="6.625" style="219" customWidth="1"/>
    <col min="8" max="8" width="3.625" style="209" customWidth="1"/>
    <col min="9" max="9" width="6" style="209" customWidth="1"/>
    <col min="10" max="10" width="13.75" style="209" customWidth="1"/>
    <col min="11" max="11" width="17.25" style="209" customWidth="1"/>
    <col min="12" max="12" width="6.625" style="205" customWidth="1"/>
    <col min="13" max="13" width="6.625" style="219" customWidth="1"/>
    <col min="14" max="15" width="2.375" style="209" customWidth="1"/>
    <col min="16" max="16" width="14" style="209" customWidth="1"/>
    <col min="17" max="17" width="14.875" style="209" customWidth="1"/>
    <col min="18" max="18" width="6.625" style="209" customWidth="1"/>
    <col min="19" max="19" width="6.625" style="205" customWidth="1"/>
    <col min="20" max="20" width="3.25" style="209" customWidth="1"/>
    <col min="21" max="21" width="0.25" style="209" customWidth="1"/>
    <col min="22" max="22" width="9.125" style="209"/>
    <col min="23" max="23" width="4.625" style="209" customWidth="1"/>
    <col min="24" max="24" width="19.125" style="209" customWidth="1"/>
    <col min="25" max="25" width="13.375" style="205" customWidth="1"/>
    <col min="26" max="26" width="5.75" style="205" customWidth="1"/>
    <col min="27" max="27" width="11.125" style="209" bestFit="1" customWidth="1"/>
    <col min="28" max="16384" width="9.125" style="209"/>
  </cols>
  <sheetData>
    <row r="1" spans="1:27" ht="35.25" customHeight="1" thickBot="1" x14ac:dyDescent="0.2">
      <c r="A1" s="1103" t="s">
        <v>411</v>
      </c>
      <c r="B1" s="1103"/>
      <c r="C1" s="1103"/>
      <c r="D1" s="1103"/>
      <c r="E1" s="1103"/>
      <c r="F1" s="1103"/>
      <c r="G1" s="1103"/>
      <c r="H1" s="1103"/>
      <c r="I1" s="1103"/>
      <c r="J1" s="1103"/>
      <c r="K1" s="1103"/>
      <c r="L1" s="1103"/>
      <c r="M1" s="1103"/>
      <c r="N1" s="1103"/>
      <c r="O1" s="1103"/>
      <c r="P1" s="1103"/>
      <c r="Q1" s="1103"/>
      <c r="R1" s="1103"/>
      <c r="S1" s="1103"/>
      <c r="T1" s="1103"/>
      <c r="U1" s="278"/>
    </row>
    <row r="2" spans="1:27" ht="21" customHeight="1" thickBot="1" x14ac:dyDescent="0.2">
      <c r="A2" s="278"/>
      <c r="B2" s="241"/>
      <c r="C2" s="1183" t="s">
        <v>308</v>
      </c>
      <c r="D2" s="1183"/>
      <c r="E2" s="1183"/>
      <c r="F2" s="1183"/>
      <c r="G2" s="1183"/>
      <c r="H2" s="1183"/>
      <c r="I2" s="1183"/>
      <c r="J2" s="1183"/>
      <c r="K2" s="1183"/>
      <c r="L2" s="1183"/>
      <c r="M2" s="1183"/>
      <c r="N2" s="242"/>
      <c r="O2" s="1184" t="s">
        <v>384</v>
      </c>
      <c r="P2" s="1185"/>
      <c r="Q2" s="1185"/>
      <c r="R2" s="1185"/>
      <c r="S2" s="1185"/>
      <c r="T2" s="1186"/>
      <c r="U2" s="278"/>
      <c r="X2" s="336" t="s">
        <v>415</v>
      </c>
      <c r="Y2" s="337" t="s">
        <v>417</v>
      </c>
      <c r="Z2" s="337" t="s">
        <v>422</v>
      </c>
      <c r="AA2" s="338" t="s">
        <v>419</v>
      </c>
    </row>
    <row r="3" spans="1:27" ht="21" customHeight="1" x14ac:dyDescent="0.15">
      <c r="A3" s="278"/>
      <c r="B3" s="243"/>
      <c r="C3" s="1111" t="s">
        <v>363</v>
      </c>
      <c r="D3" s="1119" t="s">
        <v>68</v>
      </c>
      <c r="E3" s="1120"/>
      <c r="F3" s="218" t="s">
        <v>421</v>
      </c>
      <c r="G3" s="258" t="s">
        <v>361</v>
      </c>
      <c r="H3" s="244"/>
      <c r="I3" s="1123" t="s">
        <v>363</v>
      </c>
      <c r="J3" s="1119" t="s">
        <v>68</v>
      </c>
      <c r="K3" s="1120"/>
      <c r="L3" s="218" t="s">
        <v>421</v>
      </c>
      <c r="M3" s="258" t="s">
        <v>361</v>
      </c>
      <c r="N3" s="245"/>
      <c r="O3" s="239"/>
      <c r="P3" s="1187" t="s">
        <v>309</v>
      </c>
      <c r="Q3" s="1188"/>
      <c r="R3" s="235" t="s">
        <v>407</v>
      </c>
      <c r="S3" s="236" t="s">
        <v>361</v>
      </c>
      <c r="T3" s="240"/>
      <c r="U3" s="278"/>
      <c r="X3" s="339" t="s">
        <v>68</v>
      </c>
      <c r="Y3" s="310" t="s">
        <v>297</v>
      </c>
      <c r="Z3" s="312">
        <f>SUM(K16)</f>
        <v>0</v>
      </c>
      <c r="AA3" s="340">
        <f>IF(K16&gt;=20,20,IF(K16=19,19,IF(K16=18,18,IF(K16=17,17,IF(K16=16,16,IF(K16=15,15,IF(K16=14,14,IF(K16=13,13,IF(K16=12,12,IF(K16=11,11,IF(K16=10,10,IF(K16=9,9,IF(K16=8,8,IF(K16=7,7,IF(K16=6,6,IF(K16=5,5,IF(K16=4,4,IF(K16=3,3,IF(K16=2,2,IF(K16=1,1,IF(K16=0,0,)))))))))))))))))))))</f>
        <v>0</v>
      </c>
    </row>
    <row r="4" spans="1:27" ht="21" customHeight="1" x14ac:dyDescent="0.15">
      <c r="A4" s="278"/>
      <c r="B4" s="243"/>
      <c r="C4" s="1112"/>
      <c r="D4" s="1117" t="s">
        <v>156</v>
      </c>
      <c r="E4" s="1118"/>
      <c r="F4" s="210">
        <v>1</v>
      </c>
      <c r="G4" s="302"/>
      <c r="H4" s="244"/>
      <c r="I4" s="1124"/>
      <c r="J4" s="1149" t="s">
        <v>39</v>
      </c>
      <c r="K4" s="228" t="s">
        <v>137</v>
      </c>
      <c r="L4" s="212">
        <v>1</v>
      </c>
      <c r="M4" s="298"/>
      <c r="N4" s="245"/>
      <c r="O4" s="239"/>
      <c r="P4" s="1189" t="s">
        <v>290</v>
      </c>
      <c r="Q4" s="1190"/>
      <c r="R4" s="206" t="s">
        <v>381</v>
      </c>
      <c r="S4" s="255">
        <f>SUM(G7)*2</f>
        <v>0</v>
      </c>
      <c r="T4" s="240"/>
      <c r="U4" s="278"/>
      <c r="X4" s="341" t="s">
        <v>309</v>
      </c>
      <c r="Y4" s="313" t="s">
        <v>297</v>
      </c>
      <c r="Z4" s="312">
        <f>SUM(Q9)</f>
        <v>0</v>
      </c>
      <c r="AA4" s="342">
        <f>IF(Q9&gt;=20,20,IF(Q9=19,19,IF(Q9=18,18,IF(Q9=17,17,IF(Q9=16,16,IF(Q9=15,15,IF(Q9=14,14,IF(Q9=13,13,IF(Q9=12,12,IF(Q9=11,11,IF(Q9=10,10,IF(Q9=9,9,IF(Q9=8,8,IF(Q9=7,7,IF(Q9=6,6,IF(Q9=5,5,IF(Q9=4,4,IF(Q9=3,3,IF(Q9=2,2,IF(Q9=1,1,IF(Q9=0,0,)))))))))))))))))))))</f>
        <v>0</v>
      </c>
    </row>
    <row r="5" spans="1:27" ht="21" customHeight="1" x14ac:dyDescent="0.15">
      <c r="A5" s="278"/>
      <c r="B5" s="243"/>
      <c r="C5" s="1112"/>
      <c r="D5" s="1121" t="s">
        <v>164</v>
      </c>
      <c r="E5" s="1122"/>
      <c r="F5" s="211">
        <v>2</v>
      </c>
      <c r="G5" s="299"/>
      <c r="H5" s="244"/>
      <c r="I5" s="1124"/>
      <c r="J5" s="1149"/>
      <c r="K5" s="221" t="s">
        <v>424</v>
      </c>
      <c r="L5" s="211">
        <v>2</v>
      </c>
      <c r="M5" s="299"/>
      <c r="N5" s="245"/>
      <c r="O5" s="239"/>
      <c r="P5" s="1191" t="s">
        <v>181</v>
      </c>
      <c r="Q5" s="1192"/>
      <c r="R5" s="230" t="s">
        <v>380</v>
      </c>
      <c r="S5" s="256">
        <f>SUM(G8)</f>
        <v>0</v>
      </c>
      <c r="T5" s="240"/>
      <c r="U5" s="278"/>
      <c r="X5" s="339" t="s">
        <v>416</v>
      </c>
      <c r="Y5" s="334" t="s">
        <v>332</v>
      </c>
      <c r="Z5" s="311"/>
      <c r="AA5" s="340">
        <f>VLOOKUP(Y5,X12:Y18,2,0)</f>
        <v>20</v>
      </c>
    </row>
    <row r="6" spans="1:27" ht="21" customHeight="1" thickBot="1" x14ac:dyDescent="0.2">
      <c r="A6" s="278"/>
      <c r="B6" s="243"/>
      <c r="C6" s="1112"/>
      <c r="D6" s="1121" t="s">
        <v>373</v>
      </c>
      <c r="E6" s="1122"/>
      <c r="F6" s="211">
        <v>4</v>
      </c>
      <c r="G6" s="299"/>
      <c r="H6" s="244"/>
      <c r="I6" s="1124"/>
      <c r="J6" s="1149"/>
      <c r="K6" s="225" t="s">
        <v>423</v>
      </c>
      <c r="L6" s="226" t="s">
        <v>365</v>
      </c>
      <c r="M6" s="300"/>
      <c r="N6" s="245"/>
      <c r="O6" s="239"/>
      <c r="P6" s="1189" t="s">
        <v>194</v>
      </c>
      <c r="Q6" s="1190"/>
      <c r="R6" s="206" t="s">
        <v>380</v>
      </c>
      <c r="S6" s="255">
        <f>SUM(G13)*0.6</f>
        <v>0</v>
      </c>
      <c r="T6" s="240"/>
      <c r="U6" s="278"/>
      <c r="X6" s="341" t="s">
        <v>318</v>
      </c>
      <c r="Y6" s="334" t="s">
        <v>336</v>
      </c>
      <c r="Z6" s="311"/>
      <c r="AA6" s="342">
        <f>VLOOKUP(Y6,X18:Y22,2,0)</f>
        <v>20</v>
      </c>
    </row>
    <row r="7" spans="1:27" ht="21" customHeight="1" x14ac:dyDescent="0.15">
      <c r="A7" s="278"/>
      <c r="B7" s="243"/>
      <c r="C7" s="1112"/>
      <c r="D7" s="1117" t="s">
        <v>171</v>
      </c>
      <c r="E7" s="1118"/>
      <c r="F7" s="210">
        <v>4</v>
      </c>
      <c r="G7" s="302"/>
      <c r="H7" s="244"/>
      <c r="I7" s="1124"/>
      <c r="J7" s="1150" t="s">
        <v>40</v>
      </c>
      <c r="K7" s="227" t="s">
        <v>139</v>
      </c>
      <c r="L7" s="213">
        <v>1</v>
      </c>
      <c r="M7" s="291"/>
      <c r="N7" s="245"/>
      <c r="O7" s="239"/>
      <c r="P7" s="1191" t="s">
        <v>39</v>
      </c>
      <c r="Q7" s="1192"/>
      <c r="R7" s="230" t="s">
        <v>381</v>
      </c>
      <c r="S7" s="256">
        <f>SUM(M4:M6)*2</f>
        <v>0</v>
      </c>
      <c r="T7" s="240"/>
      <c r="U7" s="278"/>
      <c r="X7" s="339" t="s">
        <v>315</v>
      </c>
      <c r="Y7" s="310" t="s">
        <v>297</v>
      </c>
      <c r="Z7" s="312">
        <f>SUM(Q26)</f>
        <v>0</v>
      </c>
      <c r="AA7" s="340">
        <f>IF(Q26&gt;=20,20,IF(Q26=19,19,IF(Q26=18,18,IF(Q26=17,17,IF(Q26=16,16,IF(Q26=15,15,IF(Q26=14,14,IF(Q26=13,13,IF(Q26=12,12,IF(Q26=11,11,IF(Q26=10,10,IF(Q26=9,9,IF(Q26=8,8,IF(Q26=7,7,IF(Q26,6,IF(Q26=5,5,IF(Q26=4,4,IF(Q26=3,3,IF(Q26=2,2,IF(Q26=1,1,IF(Q26=0,0,)))))))))))))))))))))</f>
        <v>0</v>
      </c>
    </row>
    <row r="8" spans="1:27" ht="21" customHeight="1" thickBot="1" x14ac:dyDescent="0.2">
      <c r="A8" s="278"/>
      <c r="B8" s="243"/>
      <c r="C8" s="1113"/>
      <c r="D8" s="1137" t="s">
        <v>181</v>
      </c>
      <c r="E8" s="1138"/>
      <c r="F8" s="217">
        <v>4</v>
      </c>
      <c r="G8" s="303"/>
      <c r="H8" s="244"/>
      <c r="I8" s="1124"/>
      <c r="J8" s="1151"/>
      <c r="K8" s="222" t="s">
        <v>425</v>
      </c>
      <c r="L8" s="223">
        <v>2</v>
      </c>
      <c r="M8" s="301"/>
      <c r="N8" s="245"/>
      <c r="O8" s="239"/>
      <c r="P8" s="1193" t="s">
        <v>379</v>
      </c>
      <c r="Q8" s="1194"/>
      <c r="R8" s="229" t="s">
        <v>381</v>
      </c>
      <c r="S8" s="257">
        <f>SUM(G20:G23)*2</f>
        <v>0</v>
      </c>
      <c r="T8" s="240"/>
      <c r="U8" s="278"/>
      <c r="X8" s="341" t="s">
        <v>427</v>
      </c>
      <c r="Y8" s="379"/>
      <c r="Z8" s="380"/>
      <c r="AA8" s="342">
        <v>0</v>
      </c>
    </row>
    <row r="9" spans="1:27" ht="21" customHeight="1" thickBot="1" x14ac:dyDescent="0.2">
      <c r="A9" s="278"/>
      <c r="B9" s="243"/>
      <c r="C9" s="1114" t="s">
        <v>364</v>
      </c>
      <c r="D9" s="1153" t="s">
        <v>177</v>
      </c>
      <c r="E9" s="1154"/>
      <c r="F9" s="213">
        <v>20</v>
      </c>
      <c r="G9" s="291"/>
      <c r="H9" s="244"/>
      <c r="I9" s="1125"/>
      <c r="J9" s="1152"/>
      <c r="K9" s="224" t="s">
        <v>366</v>
      </c>
      <c r="L9" s="214" t="s">
        <v>365</v>
      </c>
      <c r="M9" s="295"/>
      <c r="N9" s="245"/>
      <c r="O9" s="239"/>
      <c r="P9" s="250" t="s">
        <v>298</v>
      </c>
      <c r="Q9" s="305">
        <f>SUM(S4:S8)</f>
        <v>0</v>
      </c>
      <c r="R9" s="251" t="s">
        <v>342</v>
      </c>
      <c r="S9" s="233" t="str">
        <f>IF(Q9&gt;=15,"超",IF(Q9&gt;=12,"多",IF(Q9&gt;=10,"有",IF(Q9&gt;=3,"小","無し"))))</f>
        <v>無し</v>
      </c>
      <c r="T9" s="240"/>
      <c r="U9" s="278"/>
      <c r="X9" s="381"/>
      <c r="Y9" s="1104" t="s">
        <v>298</v>
      </c>
      <c r="Z9" s="1105"/>
      <c r="AA9" s="382">
        <f>SUM(AA4:AA8)</f>
        <v>40</v>
      </c>
    </row>
    <row r="10" spans="1:27" ht="21" customHeight="1" thickBot="1" x14ac:dyDescent="0.2">
      <c r="A10" s="278"/>
      <c r="B10" s="243"/>
      <c r="C10" s="1115"/>
      <c r="D10" s="1121" t="s">
        <v>414</v>
      </c>
      <c r="E10" s="1122"/>
      <c r="F10" s="211">
        <v>10</v>
      </c>
      <c r="G10" s="299"/>
      <c r="H10" s="244"/>
      <c r="I10" s="1158" t="s">
        <v>2</v>
      </c>
      <c r="J10" s="1161"/>
      <c r="K10" s="1162"/>
      <c r="L10" s="290"/>
      <c r="M10" s="291"/>
      <c r="N10" s="245"/>
      <c r="O10" s="239"/>
      <c r="P10" s="1110" t="s">
        <v>410</v>
      </c>
      <c r="Q10" s="1110"/>
      <c r="R10" s="1110"/>
      <c r="S10" s="1110"/>
      <c r="T10" s="240"/>
      <c r="U10" s="278"/>
      <c r="Y10" s="359" t="s">
        <v>415</v>
      </c>
      <c r="Z10" s="360"/>
      <c r="AA10" s="335" t="str">
        <f>IF(AA9&gt;=90,"S",IF(AA9&gt;=80,"A",IF(AA9&gt;=70,"B",IF(AA9&gt;=60,"C","D"))))</f>
        <v>D</v>
      </c>
    </row>
    <row r="11" spans="1:27" ht="21" customHeight="1" thickBot="1" x14ac:dyDescent="0.2">
      <c r="A11" s="278"/>
      <c r="B11" s="243"/>
      <c r="C11" s="1115"/>
      <c r="D11" s="1146" t="s">
        <v>428</v>
      </c>
      <c r="E11" s="1147"/>
      <c r="F11" s="1148"/>
      <c r="G11" s="304"/>
      <c r="H11" s="244"/>
      <c r="I11" s="1159"/>
      <c r="J11" s="1163"/>
      <c r="K11" s="1164"/>
      <c r="L11" s="292"/>
      <c r="M11" s="293"/>
      <c r="N11" s="245"/>
      <c r="O11" s="1139" t="s">
        <v>385</v>
      </c>
      <c r="P11" s="1140"/>
      <c r="Q11" s="1140"/>
      <c r="R11" s="1140"/>
      <c r="S11" s="1140"/>
      <c r="T11" s="1141"/>
      <c r="U11" s="278"/>
    </row>
    <row r="12" spans="1:27" ht="21" customHeight="1" thickBot="1" x14ac:dyDescent="0.2">
      <c r="A12" s="278"/>
      <c r="B12" s="243"/>
      <c r="C12" s="1115"/>
      <c r="D12" s="1121" t="s">
        <v>413</v>
      </c>
      <c r="E12" s="1122"/>
      <c r="F12" s="211">
        <v>15</v>
      </c>
      <c r="G12" s="299"/>
      <c r="H12" s="244"/>
      <c r="I12" s="1160"/>
      <c r="J12" s="1131"/>
      <c r="K12" s="1132"/>
      <c r="L12" s="294"/>
      <c r="M12" s="295"/>
      <c r="N12" s="245"/>
      <c r="O12" s="237"/>
      <c r="P12" s="1142" t="s">
        <v>65</v>
      </c>
      <c r="Q12" s="1143"/>
      <c r="R12" s="272" t="s">
        <v>421</v>
      </c>
      <c r="S12" s="273" t="s">
        <v>361</v>
      </c>
      <c r="T12" s="238"/>
      <c r="U12" s="278"/>
      <c r="X12" s="308" t="s">
        <v>333</v>
      </c>
      <c r="Y12" s="309">
        <v>10</v>
      </c>
      <c r="Z12" s="309"/>
    </row>
    <row r="13" spans="1:27" ht="21" customHeight="1" thickBot="1" x14ac:dyDescent="0.2">
      <c r="A13" s="278"/>
      <c r="B13" s="243"/>
      <c r="C13" s="1115"/>
      <c r="D13" s="1117" t="s">
        <v>372</v>
      </c>
      <c r="E13" s="1118"/>
      <c r="F13" s="210">
        <v>8</v>
      </c>
      <c r="G13" s="302"/>
      <c r="H13" s="244"/>
      <c r="I13" s="265" t="s">
        <v>374</v>
      </c>
      <c r="J13" s="266"/>
      <c r="K13" s="266"/>
      <c r="L13" s="267">
        <f>SUM(G4:G23,M4:M12)</f>
        <v>0</v>
      </c>
      <c r="M13" s="268">
        <f>IF(L13&gt;=20,20,IF(L13=19,19,IF(L13=18,18,IF(L13=17,17,IF(L13=16,16,IF(L13=15,15,IF(L13=14,14,IF(L13=13,13,IF(L13=12,12,IF(L13=11,11,IF(L13=10,10,IF(L13=9,9,IF(L13=8,8,IF(L13=7,7,IF(L13=6,6,IF(L13=5,5,IF(L13=4,4,IF(L13=3,3,IF(L13=2,2,IF(L13=1,1,IF(L13=0,0,)))))))))))))))))))))</f>
        <v>0</v>
      </c>
      <c r="N13" s="245"/>
      <c r="O13" s="237"/>
      <c r="P13" s="1177" t="s">
        <v>386</v>
      </c>
      <c r="Q13" s="1178"/>
      <c r="R13" s="234">
        <v>3</v>
      </c>
      <c r="S13" s="283"/>
      <c r="T13" s="238"/>
      <c r="U13" s="278"/>
      <c r="X13" s="308" t="s">
        <v>331</v>
      </c>
      <c r="Y13" s="309">
        <v>15</v>
      </c>
      <c r="Z13" s="309"/>
    </row>
    <row r="14" spans="1:27" ht="21" customHeight="1" thickBot="1" x14ac:dyDescent="0.2">
      <c r="A14" s="278"/>
      <c r="B14" s="243"/>
      <c r="C14" s="1116"/>
      <c r="D14" s="1137" t="s">
        <v>204</v>
      </c>
      <c r="E14" s="1138"/>
      <c r="F14" s="217">
        <v>15</v>
      </c>
      <c r="G14" s="303"/>
      <c r="H14" s="244"/>
      <c r="I14" s="1129" t="s">
        <v>371</v>
      </c>
      <c r="J14" s="1171" t="s">
        <v>145</v>
      </c>
      <c r="K14" s="1172"/>
      <c r="L14" s="269">
        <v>-3</v>
      </c>
      <c r="M14" s="296"/>
      <c r="N14" s="245"/>
      <c r="O14" s="237"/>
      <c r="P14" s="1179" t="s">
        <v>383</v>
      </c>
      <c r="Q14" s="1180"/>
      <c r="R14" s="231">
        <v>7</v>
      </c>
      <c r="S14" s="284"/>
      <c r="T14" s="238"/>
      <c r="U14" s="278"/>
      <c r="X14" s="308" t="s">
        <v>332</v>
      </c>
      <c r="Y14" s="309">
        <v>20</v>
      </c>
      <c r="Z14" s="309"/>
    </row>
    <row r="15" spans="1:27" ht="21" customHeight="1" thickBot="1" x14ac:dyDescent="0.2">
      <c r="A15" s="278"/>
      <c r="B15" s="243"/>
      <c r="C15" s="1123" t="s">
        <v>257</v>
      </c>
      <c r="D15" s="215" t="s">
        <v>108</v>
      </c>
      <c r="E15" s="261" t="s">
        <v>398</v>
      </c>
      <c r="F15" s="213">
        <v>20</v>
      </c>
      <c r="G15" s="291"/>
      <c r="H15" s="244"/>
      <c r="I15" s="1130"/>
      <c r="J15" s="1181" t="s">
        <v>147</v>
      </c>
      <c r="K15" s="1182"/>
      <c r="L15" s="270">
        <v>10</v>
      </c>
      <c r="M15" s="297"/>
      <c r="N15" s="245"/>
      <c r="O15" s="237"/>
      <c r="P15" s="1177" t="s">
        <v>382</v>
      </c>
      <c r="Q15" s="1178"/>
      <c r="R15" s="234" t="s">
        <v>390</v>
      </c>
      <c r="S15" s="283"/>
      <c r="T15" s="238"/>
      <c r="U15" s="278"/>
      <c r="X15" s="308" t="s">
        <v>312</v>
      </c>
      <c r="Y15" s="309">
        <v>15</v>
      </c>
      <c r="Z15" s="309"/>
    </row>
    <row r="16" spans="1:27" ht="21" customHeight="1" thickBot="1" x14ac:dyDescent="0.2">
      <c r="A16" s="278"/>
      <c r="B16" s="243"/>
      <c r="C16" s="1124"/>
      <c r="D16" s="216" t="s">
        <v>112</v>
      </c>
      <c r="E16" s="262" t="s">
        <v>399</v>
      </c>
      <c r="F16" s="211">
        <v>10</v>
      </c>
      <c r="G16" s="299"/>
      <c r="H16" s="356"/>
      <c r="I16" s="274"/>
      <c r="J16" s="275" t="s">
        <v>66</v>
      </c>
      <c r="K16" s="276">
        <f>SUM(M13,M14,M15)</f>
        <v>0</v>
      </c>
      <c r="L16" s="276" t="s">
        <v>67</v>
      </c>
      <c r="M16" s="277" t="str">
        <f>IF(K16&gt;=20,"S",IF(K16&gt;=16,"A",IF(K16&gt;=11,"B",IF(K16&gt;=6,"C","D"))))</f>
        <v>D</v>
      </c>
      <c r="N16" s="355"/>
      <c r="O16" s="237"/>
      <c r="P16" s="1179" t="s">
        <v>1</v>
      </c>
      <c r="Q16" s="1180"/>
      <c r="R16" s="231">
        <v>1</v>
      </c>
      <c r="S16" s="284"/>
      <c r="T16" s="238"/>
      <c r="U16" s="278"/>
      <c r="X16" s="308" t="s">
        <v>334</v>
      </c>
      <c r="Y16" s="309">
        <v>-20</v>
      </c>
      <c r="Z16" s="309"/>
    </row>
    <row r="17" spans="1:26" ht="21" customHeight="1" thickBot="1" x14ac:dyDescent="0.2">
      <c r="A17" s="278"/>
      <c r="B17" s="243"/>
      <c r="C17" s="1124"/>
      <c r="D17" s="1155" t="s">
        <v>396</v>
      </c>
      <c r="E17" s="263" t="s">
        <v>400</v>
      </c>
      <c r="F17" s="210">
        <v>4</v>
      </c>
      <c r="G17" s="302"/>
      <c r="H17" s="348"/>
      <c r="I17" s="343"/>
      <c r="J17" s="343"/>
      <c r="K17" s="343"/>
      <c r="L17" s="344"/>
      <c r="M17" s="344"/>
      <c r="N17" s="343"/>
      <c r="O17" s="348"/>
      <c r="P17" s="1177" t="s">
        <v>107</v>
      </c>
      <c r="Q17" s="1178"/>
      <c r="R17" s="234">
        <v>1</v>
      </c>
      <c r="S17" s="283"/>
      <c r="T17" s="238"/>
      <c r="U17" s="278"/>
      <c r="X17" s="308"/>
      <c r="Y17" s="309"/>
      <c r="Z17" s="309"/>
    </row>
    <row r="18" spans="1:26" ht="21" customHeight="1" x14ac:dyDescent="0.15">
      <c r="A18" s="278"/>
      <c r="B18" s="243"/>
      <c r="C18" s="1124"/>
      <c r="D18" s="1155"/>
      <c r="E18" s="263" t="s">
        <v>401</v>
      </c>
      <c r="F18" s="210">
        <v>2</v>
      </c>
      <c r="G18" s="302"/>
      <c r="H18" s="348"/>
      <c r="I18" s="1126" t="s">
        <v>362</v>
      </c>
      <c r="J18" s="1144" t="s">
        <v>375</v>
      </c>
      <c r="K18" s="1145"/>
      <c r="L18" s="349">
        <v>1</v>
      </c>
      <c r="M18" s="350"/>
      <c r="N18" s="237"/>
      <c r="O18" s="348"/>
      <c r="P18" s="1179" t="s">
        <v>387</v>
      </c>
      <c r="Q18" s="1180"/>
      <c r="R18" s="231" t="s">
        <v>391</v>
      </c>
      <c r="S18" s="284"/>
      <c r="T18" s="238"/>
      <c r="U18" s="278"/>
      <c r="X18" s="308" t="s">
        <v>336</v>
      </c>
      <c r="Y18" s="309">
        <v>20</v>
      </c>
      <c r="Z18" s="309"/>
    </row>
    <row r="19" spans="1:26" ht="21" customHeight="1" x14ac:dyDescent="0.15">
      <c r="A19" s="278"/>
      <c r="B19" s="243"/>
      <c r="C19" s="1124"/>
      <c r="D19" s="216" t="s">
        <v>121</v>
      </c>
      <c r="E19" s="262" t="s">
        <v>402</v>
      </c>
      <c r="F19" s="211">
        <v>1</v>
      </c>
      <c r="G19" s="299"/>
      <c r="H19" s="348"/>
      <c r="I19" s="1127"/>
      <c r="J19" s="1133" t="s">
        <v>376</v>
      </c>
      <c r="K19" s="1134"/>
      <c r="L19" s="208">
        <v>3</v>
      </c>
      <c r="M19" s="351"/>
      <c r="N19" s="348"/>
      <c r="O19" s="348"/>
      <c r="P19" s="1177" t="s">
        <v>392</v>
      </c>
      <c r="Q19" s="1178"/>
      <c r="R19" s="234" t="s">
        <v>390</v>
      </c>
      <c r="S19" s="283"/>
      <c r="T19" s="238"/>
      <c r="U19" s="278"/>
      <c r="X19" s="308" t="s">
        <v>314</v>
      </c>
      <c r="Y19" s="309">
        <v>15</v>
      </c>
      <c r="Z19" s="309"/>
    </row>
    <row r="20" spans="1:26" ht="21" customHeight="1" x14ac:dyDescent="0.15">
      <c r="A20" s="278"/>
      <c r="B20" s="243"/>
      <c r="C20" s="1124"/>
      <c r="D20" s="1155" t="s">
        <v>397</v>
      </c>
      <c r="E20" s="263" t="s">
        <v>403</v>
      </c>
      <c r="F20" s="210">
        <v>2</v>
      </c>
      <c r="G20" s="302"/>
      <c r="H20" s="348"/>
      <c r="I20" s="1127"/>
      <c r="J20" s="1165" t="s">
        <v>377</v>
      </c>
      <c r="K20" s="1166"/>
      <c r="L20" s="207">
        <v>3</v>
      </c>
      <c r="M20" s="352"/>
      <c r="N20" s="348"/>
      <c r="O20" s="348"/>
      <c r="P20" s="1179" t="s">
        <v>394</v>
      </c>
      <c r="Q20" s="1180"/>
      <c r="R20" s="231">
        <v>2</v>
      </c>
      <c r="S20" s="284"/>
      <c r="T20" s="238"/>
      <c r="U20" s="278"/>
      <c r="X20" s="308" t="s">
        <v>310</v>
      </c>
      <c r="Y20" s="309">
        <v>10</v>
      </c>
      <c r="Z20" s="309"/>
    </row>
    <row r="21" spans="1:26" ht="21" customHeight="1" x14ac:dyDescent="0.15">
      <c r="A21" s="278"/>
      <c r="B21" s="243"/>
      <c r="C21" s="1124"/>
      <c r="D21" s="1155"/>
      <c r="E21" s="263" t="s">
        <v>404</v>
      </c>
      <c r="F21" s="210">
        <v>4</v>
      </c>
      <c r="G21" s="302"/>
      <c r="H21" s="348"/>
      <c r="I21" s="1127"/>
      <c r="J21" s="1133" t="s">
        <v>367</v>
      </c>
      <c r="K21" s="1134"/>
      <c r="L21" s="208">
        <v>1</v>
      </c>
      <c r="M21" s="351"/>
      <c r="N21" s="348"/>
      <c r="O21" s="348"/>
      <c r="P21" s="1177" t="s">
        <v>395</v>
      </c>
      <c r="Q21" s="1178"/>
      <c r="R21" s="234">
        <v>2</v>
      </c>
      <c r="S21" s="283"/>
      <c r="T21" s="238"/>
      <c r="U21" s="278"/>
      <c r="X21" s="308" t="s">
        <v>418</v>
      </c>
      <c r="Y21" s="309">
        <v>0</v>
      </c>
      <c r="Z21" s="309"/>
    </row>
    <row r="22" spans="1:26" ht="21" customHeight="1" x14ac:dyDescent="0.15">
      <c r="A22" s="278"/>
      <c r="B22" s="243"/>
      <c r="C22" s="1124"/>
      <c r="D22" s="216" t="s">
        <v>131</v>
      </c>
      <c r="E22" s="262" t="s">
        <v>405</v>
      </c>
      <c r="F22" s="211">
        <v>10</v>
      </c>
      <c r="G22" s="299"/>
      <c r="H22" s="348"/>
      <c r="I22" s="1127"/>
      <c r="J22" s="1165" t="s">
        <v>378</v>
      </c>
      <c r="K22" s="1166"/>
      <c r="L22" s="207">
        <v>1</v>
      </c>
      <c r="M22" s="352"/>
      <c r="N22" s="348"/>
      <c r="O22" s="348"/>
      <c r="P22" s="1179" t="s">
        <v>393</v>
      </c>
      <c r="Q22" s="1180"/>
      <c r="R22" s="231">
        <v>2</v>
      </c>
      <c r="S22" s="284"/>
      <c r="T22" s="238"/>
      <c r="U22" s="278"/>
      <c r="X22" s="308" t="s">
        <v>335</v>
      </c>
      <c r="Y22" s="309">
        <v>-20</v>
      </c>
      <c r="Z22" s="309"/>
    </row>
    <row r="23" spans="1:26" ht="21" customHeight="1" thickBot="1" x14ac:dyDescent="0.2">
      <c r="A23" s="278"/>
      <c r="B23" s="243"/>
      <c r="C23" s="1125"/>
      <c r="D23" s="259" t="s">
        <v>135</v>
      </c>
      <c r="E23" s="264" t="s">
        <v>406</v>
      </c>
      <c r="F23" s="214">
        <v>20</v>
      </c>
      <c r="G23" s="358"/>
      <c r="H23" s="348"/>
      <c r="I23" s="1127"/>
      <c r="J23" s="1133" t="s">
        <v>369</v>
      </c>
      <c r="K23" s="1134"/>
      <c r="L23" s="208">
        <v>1</v>
      </c>
      <c r="M23" s="351"/>
      <c r="N23" s="348"/>
      <c r="O23" s="348"/>
      <c r="P23" s="1169" t="s">
        <v>389</v>
      </c>
      <c r="Q23" s="1170"/>
      <c r="R23" s="252">
        <v>3</v>
      </c>
      <c r="S23" s="285"/>
      <c r="T23" s="238"/>
      <c r="U23" s="278"/>
    </row>
    <row r="24" spans="1:26" ht="21" customHeight="1" thickBot="1" x14ac:dyDescent="0.2">
      <c r="A24" s="278"/>
      <c r="B24" s="243"/>
      <c r="C24" s="246"/>
      <c r="D24" s="244"/>
      <c r="E24" s="260"/>
      <c r="F24" s="232"/>
      <c r="G24" s="357"/>
      <c r="H24" s="348"/>
      <c r="I24" s="1127"/>
      <c r="J24" s="1165" t="s">
        <v>370</v>
      </c>
      <c r="K24" s="1166"/>
      <c r="L24" s="207">
        <v>1</v>
      </c>
      <c r="M24" s="352"/>
      <c r="N24" s="348"/>
      <c r="O24" s="348"/>
      <c r="P24" s="1167"/>
      <c r="Q24" s="1168"/>
      <c r="R24" s="288"/>
      <c r="S24" s="286"/>
      <c r="T24" s="238"/>
      <c r="U24" s="278"/>
      <c r="Y24" s="205" t="s">
        <v>301</v>
      </c>
    </row>
    <row r="25" spans="1:26" ht="21" customHeight="1" thickBot="1" x14ac:dyDescent="0.2">
      <c r="A25" s="278"/>
      <c r="B25" s="243"/>
      <c r="C25" s="1173" t="s">
        <v>69</v>
      </c>
      <c r="D25" s="1106" t="s">
        <v>408</v>
      </c>
      <c r="E25" s="1106"/>
      <c r="F25" s="1106"/>
      <c r="G25" s="1107"/>
      <c r="H25" s="348"/>
      <c r="I25" s="1127"/>
      <c r="J25" s="1133" t="s">
        <v>368</v>
      </c>
      <c r="K25" s="1134"/>
      <c r="L25" s="208">
        <v>2</v>
      </c>
      <c r="M25" s="351"/>
      <c r="N25" s="348"/>
      <c r="O25" s="348"/>
      <c r="P25" s="1175"/>
      <c r="Q25" s="1176"/>
      <c r="R25" s="289"/>
      <c r="S25" s="287"/>
      <c r="T25" s="238"/>
      <c r="U25" s="278"/>
      <c r="Y25" s="205" t="s">
        <v>323</v>
      </c>
    </row>
    <row r="26" spans="1:26" ht="21" customHeight="1" thickBot="1" x14ac:dyDescent="0.2">
      <c r="A26" s="278"/>
      <c r="B26" s="243"/>
      <c r="C26" s="1174"/>
      <c r="D26" s="1108" t="s">
        <v>409</v>
      </c>
      <c r="E26" s="1108"/>
      <c r="F26" s="1108"/>
      <c r="G26" s="1109"/>
      <c r="H26" s="348"/>
      <c r="I26" s="1128"/>
      <c r="J26" s="1156"/>
      <c r="K26" s="1157"/>
      <c r="L26" s="353"/>
      <c r="M26" s="354"/>
      <c r="N26" s="345"/>
      <c r="O26" s="345"/>
      <c r="P26" s="253" t="s">
        <v>388</v>
      </c>
      <c r="Q26" s="306">
        <f>SUM(M18:M26,S13:S25)</f>
        <v>0</v>
      </c>
      <c r="R26" s="271" t="s">
        <v>67</v>
      </c>
      <c r="S26" s="254" t="str">
        <f>IF(Q26&gt;=20,"S",IF(Q26&gt;=16,"A",IF(Q26&gt;=10,"B",IF(Q26&gt;=9,"C","D"))))</f>
        <v>D</v>
      </c>
      <c r="T26" s="238"/>
      <c r="U26" s="278"/>
      <c r="Y26" s="205" t="s">
        <v>324</v>
      </c>
    </row>
    <row r="27" spans="1:26" ht="21" customHeight="1" thickBot="1" x14ac:dyDescent="0.2">
      <c r="A27" s="278"/>
      <c r="B27" s="247"/>
      <c r="C27" s="248"/>
      <c r="D27" s="248"/>
      <c r="E27" s="248"/>
      <c r="F27" s="249"/>
      <c r="G27" s="357"/>
      <c r="H27" s="345"/>
      <c r="I27" s="345"/>
      <c r="J27" s="345"/>
      <c r="K27" s="345"/>
      <c r="L27" s="346"/>
      <c r="M27" s="347"/>
      <c r="N27" s="345"/>
      <c r="O27" s="345"/>
      <c r="P27" s="1135" t="s">
        <v>412</v>
      </c>
      <c r="Q27" s="1136"/>
      <c r="R27" s="1136"/>
      <c r="S27" s="1136"/>
      <c r="T27" s="282"/>
      <c r="U27" s="278"/>
      <c r="Y27" s="205" t="s">
        <v>325</v>
      </c>
    </row>
    <row r="28" spans="1:26" ht="21" customHeight="1" x14ac:dyDescent="0.15">
      <c r="A28" s="278"/>
      <c r="B28" s="278"/>
      <c r="C28" s="278"/>
      <c r="D28" s="278"/>
      <c r="E28" s="278"/>
      <c r="F28" s="279"/>
      <c r="G28" s="280"/>
      <c r="H28" s="278"/>
      <c r="I28" s="278"/>
      <c r="J28" s="278"/>
      <c r="K28" s="278"/>
      <c r="L28" s="279"/>
      <c r="M28" s="280"/>
      <c r="N28" s="278"/>
      <c r="O28" s="278"/>
      <c r="P28" s="281"/>
      <c r="Q28" s="281"/>
      <c r="R28" s="281"/>
      <c r="S28" s="281"/>
      <c r="T28" s="281"/>
      <c r="U28" s="278"/>
      <c r="Y28" s="205" t="s">
        <v>326</v>
      </c>
    </row>
    <row r="29" spans="1:26" ht="21" customHeight="1" x14ac:dyDescent="0.15">
      <c r="A29" s="278"/>
    </row>
    <row r="30" spans="1:26" ht="21" customHeight="1" x14ac:dyDescent="0.15">
      <c r="A30" s="278"/>
    </row>
    <row r="31" spans="1:26" ht="21" customHeight="1" x14ac:dyDescent="0.15">
      <c r="A31" s="278"/>
      <c r="D31" s="203"/>
      <c r="E31" s="204"/>
    </row>
    <row r="32" spans="1:26" ht="21" customHeight="1" x14ac:dyDescent="0.15">
      <c r="A32" s="278"/>
      <c r="D32" s="202"/>
      <c r="E32" s="202"/>
    </row>
    <row r="33" spans="1:7" ht="21" customHeight="1" x14ac:dyDescent="0.15">
      <c r="A33" s="278"/>
      <c r="D33" s="202"/>
      <c r="E33" s="202"/>
    </row>
    <row r="34" spans="1:7" ht="21" customHeight="1" x14ac:dyDescent="0.15">
      <c r="A34" s="278"/>
      <c r="D34" s="202"/>
      <c r="E34" s="202"/>
    </row>
    <row r="35" spans="1:7" ht="21" customHeight="1" x14ac:dyDescent="0.15">
      <c r="A35" s="278"/>
      <c r="D35" s="202"/>
      <c r="E35" s="202"/>
    </row>
    <row r="36" spans="1:7" ht="21" customHeight="1" x14ac:dyDescent="0.15">
      <c r="A36" s="278"/>
      <c r="D36" s="202"/>
      <c r="E36" s="202"/>
    </row>
    <row r="37" spans="1:7" ht="21" customHeight="1" x14ac:dyDescent="0.15">
      <c r="A37" s="278"/>
    </row>
    <row r="38" spans="1:7" ht="21" customHeight="1" x14ac:dyDescent="0.15">
      <c r="F38" s="204"/>
      <c r="G38" s="220"/>
    </row>
    <row r="39" spans="1:7" ht="21" customHeight="1" x14ac:dyDescent="0.15">
      <c r="F39" s="203"/>
    </row>
    <row r="40" spans="1:7" ht="21" customHeight="1" x14ac:dyDescent="0.15">
      <c r="F40" s="203"/>
    </row>
    <row r="41" spans="1:7" ht="21" customHeight="1" x14ac:dyDescent="0.15">
      <c r="F41" s="203"/>
    </row>
    <row r="42" spans="1:7" ht="21" customHeight="1" x14ac:dyDescent="0.15">
      <c r="F42" s="203"/>
    </row>
    <row r="43" spans="1:7" ht="21" customHeight="1" x14ac:dyDescent="0.15">
      <c r="F43" s="203"/>
    </row>
  </sheetData>
  <sheetProtection sheet="1" objects="1" scenarios="1"/>
  <mergeCells count="68">
    <mergeCell ref="P13:Q13"/>
    <mergeCell ref="C2:M2"/>
    <mergeCell ref="O2:T2"/>
    <mergeCell ref="P3:Q3"/>
    <mergeCell ref="P14:Q14"/>
    <mergeCell ref="P4:Q4"/>
    <mergeCell ref="P5:Q5"/>
    <mergeCell ref="P6:Q6"/>
    <mergeCell ref="P7:Q7"/>
    <mergeCell ref="P8:Q8"/>
    <mergeCell ref="J3:K3"/>
    <mergeCell ref="P24:Q24"/>
    <mergeCell ref="P23:Q23"/>
    <mergeCell ref="J14:K14"/>
    <mergeCell ref="C25:C26"/>
    <mergeCell ref="C15:C23"/>
    <mergeCell ref="P25:Q25"/>
    <mergeCell ref="P15:Q15"/>
    <mergeCell ref="P16:Q16"/>
    <mergeCell ref="P18:Q18"/>
    <mergeCell ref="P20:Q20"/>
    <mergeCell ref="P17:Q17"/>
    <mergeCell ref="P19:Q19"/>
    <mergeCell ref="P21:Q21"/>
    <mergeCell ref="P22:Q22"/>
    <mergeCell ref="J15:K15"/>
    <mergeCell ref="J22:K22"/>
    <mergeCell ref="D20:D21"/>
    <mergeCell ref="J26:K26"/>
    <mergeCell ref="I10:I12"/>
    <mergeCell ref="J10:K10"/>
    <mergeCell ref="J11:K11"/>
    <mergeCell ref="J24:K24"/>
    <mergeCell ref="J25:K25"/>
    <mergeCell ref="D17:D18"/>
    <mergeCell ref="J20:K20"/>
    <mergeCell ref="P27:S27"/>
    <mergeCell ref="D6:E6"/>
    <mergeCell ref="D7:E7"/>
    <mergeCell ref="D8:E8"/>
    <mergeCell ref="O11:T11"/>
    <mergeCell ref="P12:Q12"/>
    <mergeCell ref="J18:K18"/>
    <mergeCell ref="D11:F11"/>
    <mergeCell ref="J19:K19"/>
    <mergeCell ref="J21:K21"/>
    <mergeCell ref="D14:E14"/>
    <mergeCell ref="J4:J6"/>
    <mergeCell ref="J7:J9"/>
    <mergeCell ref="D9:E9"/>
    <mergeCell ref="D10:E10"/>
    <mergeCell ref="D12:E12"/>
    <mergeCell ref="A1:T1"/>
    <mergeCell ref="Y9:Z9"/>
    <mergeCell ref="D25:G25"/>
    <mergeCell ref="D26:G26"/>
    <mergeCell ref="P10:S10"/>
    <mergeCell ref="C3:C8"/>
    <mergeCell ref="C9:C14"/>
    <mergeCell ref="D13:E13"/>
    <mergeCell ref="D3:E3"/>
    <mergeCell ref="D4:E4"/>
    <mergeCell ref="D5:E5"/>
    <mergeCell ref="I3:I9"/>
    <mergeCell ref="I18:I26"/>
    <mergeCell ref="I14:I15"/>
    <mergeCell ref="J12:K12"/>
    <mergeCell ref="J23:K23"/>
  </mergeCells>
  <phoneticPr fontId="100"/>
  <dataValidations count="2">
    <dataValidation type="list" allowBlank="1" showInputMessage="1" showErrorMessage="1" sqref="Y5" xr:uid="{00000000-0002-0000-0300-000000000000}">
      <formula1>$X$12:$X$16</formula1>
    </dataValidation>
    <dataValidation type="list" allowBlank="1" showInputMessage="1" showErrorMessage="1" sqref="Y6" xr:uid="{00000000-0002-0000-0300-000001000000}">
      <formula1>$X$18:$X$22</formula1>
    </dataValidation>
  </dataValidations>
  <pageMargins left="0.7" right="0.7" top="0.75" bottom="0.75" header="0.3" footer="0.3"/>
  <pageSetup paperSize="9" orientation="landscape"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11"/>
  <sheetViews>
    <sheetView zoomScaleNormal="100" workbookViewId="0">
      <selection activeCell="D13" sqref="D13:E13"/>
    </sheetView>
  </sheetViews>
  <sheetFormatPr defaultRowHeight="38.25" customHeight="1" x14ac:dyDescent="0.15"/>
  <cols>
    <col min="1" max="1" width="16.375" customWidth="1"/>
    <col min="2" max="2" width="26.125" customWidth="1"/>
    <col min="3" max="3" width="62.375" customWidth="1"/>
    <col min="4" max="4" width="71.375" customWidth="1"/>
  </cols>
  <sheetData>
    <row r="1" spans="1:4" ht="38.25" customHeight="1" x14ac:dyDescent="0.15">
      <c r="A1" s="9" t="s">
        <v>151</v>
      </c>
      <c r="B1" s="10" t="s">
        <v>152</v>
      </c>
      <c r="C1" s="389" t="s">
        <v>153</v>
      </c>
      <c r="D1" s="23" t="s">
        <v>154</v>
      </c>
    </row>
    <row r="2" spans="1:4" ht="38.25" customHeight="1" x14ac:dyDescent="0.15">
      <c r="A2" s="13" t="s">
        <v>156</v>
      </c>
      <c r="B2" s="388" t="s">
        <v>157</v>
      </c>
      <c r="C2" s="384" t="s">
        <v>158</v>
      </c>
      <c r="D2" s="27" t="s">
        <v>159</v>
      </c>
    </row>
    <row r="3" spans="1:4" ht="38.25" customHeight="1" x14ac:dyDescent="0.15">
      <c r="A3" s="387" t="s">
        <v>164</v>
      </c>
      <c r="B3" s="385" t="s">
        <v>165</v>
      </c>
      <c r="C3" s="383" t="s">
        <v>433</v>
      </c>
      <c r="D3" s="386" t="s">
        <v>166</v>
      </c>
    </row>
    <row r="4" spans="1:4" ht="38.25" customHeight="1" x14ac:dyDescent="0.15">
      <c r="A4" s="13" t="s">
        <v>171</v>
      </c>
      <c r="B4" s="390" t="s">
        <v>294</v>
      </c>
      <c r="C4" s="384" t="s">
        <v>438</v>
      </c>
      <c r="D4" s="27" t="s">
        <v>172</v>
      </c>
    </row>
    <row r="5" spans="1:4" ht="38.25" customHeight="1" x14ac:dyDescent="0.15">
      <c r="A5" s="387" t="s">
        <v>177</v>
      </c>
      <c r="B5" s="391" t="s">
        <v>295</v>
      </c>
      <c r="C5" s="383" t="s">
        <v>439</v>
      </c>
      <c r="D5" s="386" t="s">
        <v>178</v>
      </c>
    </row>
    <row r="6" spans="1:4" ht="38.25" customHeight="1" x14ac:dyDescent="0.15">
      <c r="A6" s="13" t="s">
        <v>181</v>
      </c>
      <c r="B6" s="390" t="s">
        <v>182</v>
      </c>
      <c r="C6" s="384" t="s">
        <v>434</v>
      </c>
      <c r="D6" s="27" t="s">
        <v>183</v>
      </c>
    </row>
    <row r="7" spans="1:4" ht="38.25" customHeight="1" x14ac:dyDescent="0.15">
      <c r="A7" s="387" t="s">
        <v>187</v>
      </c>
      <c r="B7" s="385" t="s">
        <v>188</v>
      </c>
      <c r="C7" s="383" t="s">
        <v>435</v>
      </c>
      <c r="D7" s="386" t="s">
        <v>189</v>
      </c>
    </row>
    <row r="8" spans="1:4" ht="38.25" customHeight="1" x14ac:dyDescent="0.15">
      <c r="A8" s="13" t="s">
        <v>194</v>
      </c>
      <c r="B8" s="390" t="s">
        <v>296</v>
      </c>
      <c r="C8" s="384" t="s">
        <v>436</v>
      </c>
      <c r="D8" s="27" t="s">
        <v>195</v>
      </c>
    </row>
    <row r="9" spans="1:4" ht="38.25" customHeight="1" x14ac:dyDescent="0.15">
      <c r="A9" s="387" t="s">
        <v>198</v>
      </c>
      <c r="B9" s="385" t="s">
        <v>199</v>
      </c>
      <c r="C9" s="383" t="s">
        <v>437</v>
      </c>
      <c r="D9" s="386" t="s">
        <v>200</v>
      </c>
    </row>
    <row r="10" spans="1:4" ht="38.25" customHeight="1" x14ac:dyDescent="0.15">
      <c r="A10" s="13" t="s">
        <v>204</v>
      </c>
      <c r="B10" s="390" t="s">
        <v>205</v>
      </c>
      <c r="C10" s="384" t="s">
        <v>440</v>
      </c>
      <c r="D10" s="27" t="s">
        <v>206</v>
      </c>
    </row>
    <row r="11" spans="1:4" ht="38.25" customHeight="1" x14ac:dyDescent="0.15">
      <c r="A11" s="387" t="s">
        <v>211</v>
      </c>
      <c r="B11" s="385"/>
      <c r="C11" s="383" t="s">
        <v>441</v>
      </c>
      <c r="D11" s="386" t="s">
        <v>212</v>
      </c>
    </row>
  </sheetData>
  <phoneticPr fontId="1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49"/>
  <sheetViews>
    <sheetView workbookViewId="0">
      <selection activeCell="D35" sqref="D35:G36"/>
    </sheetView>
  </sheetViews>
  <sheetFormatPr defaultColWidth="9.125" defaultRowHeight="23.25" customHeight="1" x14ac:dyDescent="0.15"/>
  <cols>
    <col min="1" max="1" width="42.25" style="1" customWidth="1"/>
    <col min="2" max="2" width="32.375" style="1" customWidth="1"/>
    <col min="3" max="3" width="3.625" style="1" customWidth="1"/>
    <col min="4" max="4" width="21.625" style="2" customWidth="1"/>
    <col min="5" max="5" width="20.875" style="2" customWidth="1"/>
    <col min="6" max="6" width="17.75" style="3" customWidth="1"/>
    <col min="7" max="7" width="35.75" style="3" customWidth="1"/>
    <col min="8" max="8" width="22.25" style="3" customWidth="1"/>
    <col min="9" max="9" width="53.25" style="4" customWidth="1"/>
    <col min="10" max="16384" width="9.125" style="5"/>
  </cols>
  <sheetData>
    <row r="1" spans="1:9" ht="23.25" customHeight="1" x14ac:dyDescent="0.15">
      <c r="A1" s="1217" t="s">
        <v>149</v>
      </c>
      <c r="B1" s="1218"/>
      <c r="C1" s="6"/>
    </row>
    <row r="2" spans="1:9" ht="23.25" customHeight="1" x14ac:dyDescent="0.15">
      <c r="A2" s="7" t="s">
        <v>150</v>
      </c>
      <c r="B2" s="8"/>
      <c r="D2" s="9" t="s">
        <v>151</v>
      </c>
      <c r="E2" s="10" t="s">
        <v>152</v>
      </c>
      <c r="F2" s="1219" t="s">
        <v>153</v>
      </c>
      <c r="G2" s="1220"/>
      <c r="H2" s="1221"/>
      <c r="I2" s="23" t="s">
        <v>154</v>
      </c>
    </row>
    <row r="3" spans="1:9" ht="23.25" customHeight="1" x14ac:dyDescent="0.15">
      <c r="A3" s="11" t="s">
        <v>155</v>
      </c>
      <c r="B3" s="12"/>
      <c r="D3" s="1234" t="s">
        <v>156</v>
      </c>
      <c r="E3" s="1239" t="s">
        <v>157</v>
      </c>
      <c r="F3" s="1195" t="s">
        <v>158</v>
      </c>
      <c r="G3" s="1196"/>
      <c r="H3" s="1197"/>
      <c r="I3" s="1210" t="s">
        <v>159</v>
      </c>
    </row>
    <row r="4" spans="1:9" ht="23.25" customHeight="1" x14ac:dyDescent="0.15">
      <c r="A4" s="14" t="s">
        <v>160</v>
      </c>
      <c r="B4" s="15" t="s">
        <v>161</v>
      </c>
      <c r="D4" s="1234"/>
      <c r="E4" s="1239"/>
      <c r="F4" s="1198"/>
      <c r="G4" s="1199"/>
      <c r="H4" s="1200"/>
      <c r="I4" s="1210"/>
    </row>
    <row r="5" spans="1:9" ht="23.25" customHeight="1" x14ac:dyDescent="0.15">
      <c r="A5" s="16" t="s">
        <v>162</v>
      </c>
      <c r="B5" s="17" t="s">
        <v>163</v>
      </c>
      <c r="D5" s="1235" t="s">
        <v>164</v>
      </c>
      <c r="E5" s="1231" t="s">
        <v>165</v>
      </c>
      <c r="F5" s="1201" t="s">
        <v>433</v>
      </c>
      <c r="G5" s="1202"/>
      <c r="H5" s="1203"/>
      <c r="I5" s="1215" t="s">
        <v>166</v>
      </c>
    </row>
    <row r="6" spans="1:9" ht="23.25" customHeight="1" x14ac:dyDescent="0.15">
      <c r="A6" s="18" t="s">
        <v>167</v>
      </c>
      <c r="B6" s="19" t="s">
        <v>168</v>
      </c>
      <c r="D6" s="1235"/>
      <c r="E6" s="1231"/>
      <c r="F6" s="1204"/>
      <c r="G6" s="1205"/>
      <c r="H6" s="1206"/>
      <c r="I6" s="1215"/>
    </row>
    <row r="7" spans="1:9" ht="23.25" customHeight="1" x14ac:dyDescent="0.15">
      <c r="A7" s="16" t="s">
        <v>169</v>
      </c>
      <c r="B7" s="17" t="s">
        <v>170</v>
      </c>
      <c r="D7" s="1234" t="s">
        <v>171</v>
      </c>
      <c r="E7" s="1229" t="s">
        <v>294</v>
      </c>
      <c r="F7" s="1195" t="s">
        <v>438</v>
      </c>
      <c r="G7" s="1196"/>
      <c r="H7" s="1197"/>
      <c r="I7" s="1210" t="s">
        <v>172</v>
      </c>
    </row>
    <row r="8" spans="1:9" ht="23.25" customHeight="1" x14ac:dyDescent="0.15">
      <c r="A8" s="18" t="s">
        <v>173</v>
      </c>
      <c r="B8" s="19" t="s">
        <v>174</v>
      </c>
      <c r="D8" s="1234"/>
      <c r="E8" s="1229"/>
      <c r="F8" s="1198"/>
      <c r="G8" s="1199"/>
      <c r="H8" s="1200"/>
      <c r="I8" s="1210"/>
    </row>
    <row r="9" spans="1:9" ht="23.25" customHeight="1" x14ac:dyDescent="0.15">
      <c r="A9" s="16" t="s">
        <v>175</v>
      </c>
      <c r="B9" s="17" t="s">
        <v>176</v>
      </c>
      <c r="D9" s="1235" t="s">
        <v>177</v>
      </c>
      <c r="E9" s="1230" t="s">
        <v>295</v>
      </c>
      <c r="F9" s="1201" t="s">
        <v>439</v>
      </c>
      <c r="G9" s="1202"/>
      <c r="H9" s="1203"/>
      <c r="I9" s="1215" t="s">
        <v>178</v>
      </c>
    </row>
    <row r="10" spans="1:9" ht="23.25" customHeight="1" x14ac:dyDescent="0.15">
      <c r="A10" s="18" t="s">
        <v>179</v>
      </c>
      <c r="B10" s="19" t="s">
        <v>174</v>
      </c>
      <c r="D10" s="1235"/>
      <c r="E10" s="1231"/>
      <c r="F10" s="1204"/>
      <c r="G10" s="1205"/>
      <c r="H10" s="1206"/>
      <c r="I10" s="1215"/>
    </row>
    <row r="11" spans="1:9" ht="23.25" customHeight="1" x14ac:dyDescent="0.15">
      <c r="A11" s="16" t="s">
        <v>180</v>
      </c>
      <c r="B11" s="17" t="s">
        <v>174</v>
      </c>
      <c r="D11" s="1234" t="s">
        <v>181</v>
      </c>
      <c r="E11" s="1229" t="s">
        <v>182</v>
      </c>
      <c r="F11" s="1195" t="s">
        <v>434</v>
      </c>
      <c r="G11" s="1196"/>
      <c r="H11" s="1197"/>
      <c r="I11" s="1210" t="s">
        <v>183</v>
      </c>
    </row>
    <row r="12" spans="1:9" ht="23.25" customHeight="1" x14ac:dyDescent="0.15">
      <c r="A12" s="18" t="s">
        <v>184</v>
      </c>
      <c r="B12" s="19" t="s">
        <v>170</v>
      </c>
      <c r="D12" s="1234"/>
      <c r="E12" s="1229"/>
      <c r="F12" s="1207"/>
      <c r="G12" s="1208"/>
      <c r="H12" s="1209"/>
      <c r="I12" s="1210"/>
    </row>
    <row r="13" spans="1:9" ht="23.25" customHeight="1" x14ac:dyDescent="0.15">
      <c r="A13" s="16" t="s">
        <v>185</v>
      </c>
      <c r="B13" s="17" t="s">
        <v>176</v>
      </c>
      <c r="D13" s="1234"/>
      <c r="E13" s="1229"/>
      <c r="F13" s="1198"/>
      <c r="G13" s="1199"/>
      <c r="H13" s="1200"/>
      <c r="I13" s="1210"/>
    </row>
    <row r="14" spans="1:9" ht="23.25" customHeight="1" x14ac:dyDescent="0.15">
      <c r="A14" s="18" t="s">
        <v>186</v>
      </c>
      <c r="B14" s="19" t="s">
        <v>170</v>
      </c>
      <c r="D14" s="1235" t="s">
        <v>187</v>
      </c>
      <c r="E14" s="1231" t="s">
        <v>188</v>
      </c>
      <c r="F14" s="1201" t="s">
        <v>435</v>
      </c>
      <c r="G14" s="1202"/>
      <c r="H14" s="1203"/>
      <c r="I14" s="1215" t="s">
        <v>189</v>
      </c>
    </row>
    <row r="15" spans="1:9" ht="23.25" customHeight="1" x14ac:dyDescent="0.15">
      <c r="A15" s="16" t="s">
        <v>190</v>
      </c>
      <c r="B15" s="17" t="s">
        <v>191</v>
      </c>
      <c r="D15" s="1235"/>
      <c r="E15" s="1231"/>
      <c r="F15" s="1204"/>
      <c r="G15" s="1205"/>
      <c r="H15" s="1206"/>
      <c r="I15" s="1215"/>
    </row>
    <row r="16" spans="1:9" ht="23.25" customHeight="1" x14ac:dyDescent="0.15">
      <c r="A16" s="18" t="s">
        <v>192</v>
      </c>
      <c r="B16" s="19" t="s">
        <v>193</v>
      </c>
      <c r="D16" s="1234" t="s">
        <v>194</v>
      </c>
      <c r="E16" s="1229" t="s">
        <v>296</v>
      </c>
      <c r="F16" s="1195" t="s">
        <v>436</v>
      </c>
      <c r="G16" s="1196"/>
      <c r="H16" s="1197"/>
      <c r="I16" s="1210" t="s">
        <v>195</v>
      </c>
    </row>
    <row r="17" spans="1:9" ht="23.25" customHeight="1" x14ac:dyDescent="0.15">
      <c r="A17" s="16" t="s">
        <v>196</v>
      </c>
      <c r="B17" s="17" t="s">
        <v>170</v>
      </c>
      <c r="D17" s="1234"/>
      <c r="E17" s="1229"/>
      <c r="F17" s="1198"/>
      <c r="G17" s="1199"/>
      <c r="H17" s="1200"/>
      <c r="I17" s="1210"/>
    </row>
    <row r="18" spans="1:9" ht="23.25" customHeight="1" x14ac:dyDescent="0.15">
      <c r="A18" s="18" t="s">
        <v>197</v>
      </c>
      <c r="B18" s="19" t="s">
        <v>170</v>
      </c>
      <c r="D18" s="1235" t="s">
        <v>198</v>
      </c>
      <c r="E18" s="1231" t="s">
        <v>199</v>
      </c>
      <c r="F18" s="1201" t="s">
        <v>437</v>
      </c>
      <c r="G18" s="1202"/>
      <c r="H18" s="1203"/>
      <c r="I18" s="1215" t="s">
        <v>200</v>
      </c>
    </row>
    <row r="19" spans="1:9" ht="23.25" customHeight="1" x14ac:dyDescent="0.15">
      <c r="A19" s="16" t="s">
        <v>201</v>
      </c>
      <c r="B19" s="17" t="s">
        <v>176</v>
      </c>
      <c r="D19" s="1235"/>
      <c r="E19" s="1231"/>
      <c r="F19" s="1204"/>
      <c r="G19" s="1205"/>
      <c r="H19" s="1206"/>
      <c r="I19" s="1215"/>
    </row>
    <row r="20" spans="1:9" ht="23.25" customHeight="1" x14ac:dyDescent="0.15">
      <c r="A20" s="18" t="s">
        <v>202</v>
      </c>
      <c r="B20" s="19" t="s">
        <v>203</v>
      </c>
      <c r="D20" s="1234" t="s">
        <v>204</v>
      </c>
      <c r="E20" s="1229" t="s">
        <v>205</v>
      </c>
      <c r="F20" s="1195" t="s">
        <v>440</v>
      </c>
      <c r="G20" s="1196"/>
      <c r="H20" s="1197"/>
      <c r="I20" s="1210" t="s">
        <v>206</v>
      </c>
    </row>
    <row r="21" spans="1:9" ht="23.25" customHeight="1" x14ac:dyDescent="0.15">
      <c r="A21" s="16" t="s">
        <v>207</v>
      </c>
      <c r="B21" s="17" t="s">
        <v>208</v>
      </c>
      <c r="D21" s="1234"/>
      <c r="E21" s="1229"/>
      <c r="F21" s="1198"/>
      <c r="G21" s="1199"/>
      <c r="H21" s="1200"/>
      <c r="I21" s="1210"/>
    </row>
    <row r="22" spans="1:9" ht="23.25" customHeight="1" x14ac:dyDescent="0.15">
      <c r="A22" s="18" t="s">
        <v>209</v>
      </c>
      <c r="B22" s="19" t="s">
        <v>210</v>
      </c>
      <c r="D22" s="1235" t="s">
        <v>211</v>
      </c>
      <c r="E22" s="1231"/>
      <c r="F22" s="1201" t="s">
        <v>441</v>
      </c>
      <c r="G22" s="1202"/>
      <c r="H22" s="1203"/>
      <c r="I22" s="1215" t="s">
        <v>212</v>
      </c>
    </row>
    <row r="23" spans="1:9" ht="23.25" customHeight="1" x14ac:dyDescent="0.15">
      <c r="A23" s="20" t="s">
        <v>213</v>
      </c>
      <c r="B23" s="21" t="s">
        <v>214</v>
      </c>
      <c r="D23" s="1236"/>
      <c r="E23" s="1292"/>
      <c r="F23" s="1289"/>
      <c r="G23" s="1290"/>
      <c r="H23" s="1291"/>
      <c r="I23" s="1216"/>
    </row>
    <row r="25" spans="1:9" ht="23.25" customHeight="1" x14ac:dyDescent="0.15">
      <c r="A25" s="1285" t="s">
        <v>215</v>
      </c>
      <c r="B25" s="1286"/>
      <c r="D25" s="22" t="s">
        <v>216</v>
      </c>
      <c r="E25" s="1222" t="s">
        <v>291</v>
      </c>
      <c r="F25" s="1222"/>
      <c r="G25" s="1222"/>
      <c r="H25" s="1223"/>
      <c r="I25" s="1224"/>
    </row>
    <row r="26" spans="1:9" ht="23.25" customHeight="1" x14ac:dyDescent="0.15">
      <c r="A26" s="1287"/>
      <c r="B26" s="1288"/>
      <c r="D26" s="1225" t="s">
        <v>217</v>
      </c>
      <c r="E26" s="1226"/>
      <c r="F26" s="23" t="s">
        <v>218</v>
      </c>
      <c r="G26" s="24" t="s">
        <v>219</v>
      </c>
      <c r="H26" s="1227" t="s">
        <v>220</v>
      </c>
      <c r="I26" s="1228"/>
    </row>
    <row r="27" spans="1:9" ht="23.25" customHeight="1" x14ac:dyDescent="0.15">
      <c r="A27" s="25" t="s">
        <v>221</v>
      </c>
      <c r="B27" s="26" t="s">
        <v>222</v>
      </c>
      <c r="D27" s="1260" t="s">
        <v>223</v>
      </c>
      <c r="E27" s="1261"/>
      <c r="F27" s="27" t="s">
        <v>224</v>
      </c>
      <c r="G27" s="1249" t="s">
        <v>225</v>
      </c>
      <c r="H27" s="1242" t="s">
        <v>226</v>
      </c>
      <c r="I27" s="1243"/>
    </row>
    <row r="28" spans="1:9" ht="23.25" customHeight="1" x14ac:dyDescent="0.15">
      <c r="A28" s="16" t="s">
        <v>162</v>
      </c>
      <c r="B28" s="17" t="s">
        <v>163</v>
      </c>
      <c r="D28" s="1262" t="s">
        <v>227</v>
      </c>
      <c r="E28" s="1263"/>
      <c r="F28" s="28" t="s">
        <v>228</v>
      </c>
      <c r="G28" s="1249"/>
      <c r="H28" s="1242"/>
      <c r="I28" s="1243"/>
    </row>
    <row r="29" spans="1:9" ht="23.25" customHeight="1" x14ac:dyDescent="0.15">
      <c r="A29" s="29" t="s">
        <v>229</v>
      </c>
      <c r="B29" s="30" t="s">
        <v>230</v>
      </c>
      <c r="D29" s="1211" t="s">
        <v>231</v>
      </c>
      <c r="E29" s="1212"/>
      <c r="F29" s="27" t="s">
        <v>232</v>
      </c>
      <c r="G29" s="33" t="s">
        <v>233</v>
      </c>
      <c r="H29" s="1213" t="s">
        <v>234</v>
      </c>
      <c r="I29" s="1214"/>
    </row>
    <row r="30" spans="1:9" ht="23.25" customHeight="1" x14ac:dyDescent="0.15">
      <c r="A30" s="16" t="s">
        <v>179</v>
      </c>
      <c r="B30" s="34" t="s">
        <v>235</v>
      </c>
      <c r="D30" s="1264" t="s">
        <v>236</v>
      </c>
      <c r="E30" s="1265"/>
      <c r="F30" s="28" t="s">
        <v>237</v>
      </c>
      <c r="G30" s="35" t="s">
        <v>238</v>
      </c>
      <c r="H30" s="1266" t="s">
        <v>239</v>
      </c>
      <c r="I30" s="1267"/>
    </row>
    <row r="31" spans="1:9" ht="23.25" customHeight="1" x14ac:dyDescent="0.15">
      <c r="A31" s="29" t="s">
        <v>184</v>
      </c>
      <c r="B31" s="30" t="s">
        <v>170</v>
      </c>
      <c r="D31" s="1211" t="s">
        <v>240</v>
      </c>
      <c r="E31" s="1212"/>
      <c r="F31" s="27" t="s">
        <v>241</v>
      </c>
      <c r="G31" s="33" t="s">
        <v>242</v>
      </c>
      <c r="H31" s="1252" t="s">
        <v>243</v>
      </c>
      <c r="I31" s="1253"/>
    </row>
    <row r="32" spans="1:9" ht="23.25" customHeight="1" x14ac:dyDescent="0.15">
      <c r="A32" s="16" t="s">
        <v>186</v>
      </c>
      <c r="B32" s="34" t="s">
        <v>174</v>
      </c>
      <c r="D32" s="1254" t="s">
        <v>244</v>
      </c>
      <c r="E32" s="1255"/>
      <c r="F32" s="36" t="s">
        <v>245</v>
      </c>
      <c r="G32" s="37"/>
      <c r="H32" s="1256" t="s">
        <v>246</v>
      </c>
      <c r="I32" s="1257"/>
    </row>
    <row r="33" spans="1:9" ht="23.25" customHeight="1" x14ac:dyDescent="0.15">
      <c r="A33" s="29" t="s">
        <v>197</v>
      </c>
      <c r="B33" s="38" t="s">
        <v>191</v>
      </c>
      <c r="D33" s="1241" t="s">
        <v>247</v>
      </c>
      <c r="E33" s="1241"/>
      <c r="F33" s="1241"/>
      <c r="H33" s="1258" t="s">
        <v>248</v>
      </c>
      <c r="I33" s="1259"/>
    </row>
    <row r="34" spans="1:9" ht="23.25" customHeight="1" x14ac:dyDescent="0.15">
      <c r="A34" s="20" t="s">
        <v>209</v>
      </c>
      <c r="B34" s="39" t="s">
        <v>249</v>
      </c>
      <c r="D34" s="1241"/>
      <c r="E34" s="1241"/>
      <c r="F34" s="1241"/>
      <c r="H34" s="1250" t="s">
        <v>250</v>
      </c>
      <c r="I34" s="1251"/>
    </row>
    <row r="35" spans="1:9" ht="23.25" customHeight="1" x14ac:dyDescent="0.15">
      <c r="A35" s="1240" t="s">
        <v>251</v>
      </c>
      <c r="B35" s="1240"/>
      <c r="D35" s="1273" t="s">
        <v>252</v>
      </c>
      <c r="E35" s="1274"/>
      <c r="F35" s="1274"/>
      <c r="G35" s="1275"/>
      <c r="H35" s="1213" t="s">
        <v>253</v>
      </c>
      <c r="I35" s="1214"/>
    </row>
    <row r="36" spans="1:9" ht="23.25" customHeight="1" x14ac:dyDescent="0.15">
      <c r="A36" s="1241" t="s">
        <v>254</v>
      </c>
      <c r="B36" s="1241"/>
      <c r="D36" s="1276"/>
      <c r="E36" s="1277"/>
      <c r="F36" s="1277"/>
      <c r="G36" s="1278"/>
      <c r="H36" s="1244" t="s">
        <v>255</v>
      </c>
      <c r="I36" s="1215"/>
    </row>
    <row r="37" spans="1:9" ht="23.25" customHeight="1" x14ac:dyDescent="0.15">
      <c r="A37" s="1241"/>
      <c r="B37" s="1241"/>
      <c r="D37" s="1237" t="s">
        <v>256</v>
      </c>
      <c r="E37" s="1238"/>
      <c r="F37" s="1279" t="s">
        <v>257</v>
      </c>
      <c r="G37" s="1280"/>
      <c r="H37" s="1245"/>
      <c r="I37" s="1246"/>
    </row>
    <row r="38" spans="1:9" ht="23.25" customHeight="1" x14ac:dyDescent="0.15">
      <c r="A38" s="1272" t="s">
        <v>258</v>
      </c>
      <c r="B38" s="1272"/>
      <c r="D38" s="13" t="s">
        <v>259</v>
      </c>
      <c r="E38" s="40" t="s">
        <v>260</v>
      </c>
      <c r="F38" s="1281"/>
      <c r="G38" s="1282"/>
      <c r="H38" s="1247" t="s">
        <v>261</v>
      </c>
      <c r="I38" s="1248"/>
    </row>
    <row r="39" spans="1:9" ht="23.25" customHeight="1" x14ac:dyDescent="0.15">
      <c r="A39" s="1272"/>
      <c r="B39" s="1272"/>
      <c r="D39" s="41" t="s">
        <v>262</v>
      </c>
      <c r="E39" s="42" t="s">
        <v>263</v>
      </c>
      <c r="F39" s="43" t="s">
        <v>108</v>
      </c>
      <c r="G39" s="44" t="s">
        <v>109</v>
      </c>
      <c r="H39" s="1244" t="s">
        <v>264</v>
      </c>
      <c r="I39" s="1215"/>
    </row>
    <row r="40" spans="1:9" ht="23.25" customHeight="1" x14ac:dyDescent="0.15">
      <c r="A40" s="45" t="s">
        <v>39</v>
      </c>
      <c r="B40" s="46" t="s">
        <v>265</v>
      </c>
      <c r="C40" s="3"/>
      <c r="D40" s="13" t="s">
        <v>266</v>
      </c>
      <c r="E40" s="40" t="s">
        <v>267</v>
      </c>
      <c r="F40" s="47" t="s">
        <v>112</v>
      </c>
      <c r="G40" s="48" t="s">
        <v>113</v>
      </c>
      <c r="H40" s="1245"/>
      <c r="I40" s="1246"/>
    </row>
    <row r="41" spans="1:9" ht="23.25" customHeight="1" x14ac:dyDescent="0.15">
      <c r="A41" s="49" t="s">
        <v>40</v>
      </c>
      <c r="B41" s="50" t="s">
        <v>268</v>
      </c>
      <c r="C41" s="3"/>
      <c r="D41" s="51" t="s">
        <v>269</v>
      </c>
      <c r="E41" s="52" t="s">
        <v>270</v>
      </c>
      <c r="F41" s="53" t="s">
        <v>271</v>
      </c>
      <c r="G41" s="17" t="s">
        <v>272</v>
      </c>
      <c r="H41" s="1247" t="s">
        <v>273</v>
      </c>
      <c r="I41" s="1248"/>
    </row>
    <row r="42" spans="1:9" ht="23.25" customHeight="1" x14ac:dyDescent="0.15">
      <c r="A42" s="54" t="s">
        <v>242</v>
      </c>
      <c r="B42" s="55" t="s">
        <v>274</v>
      </c>
      <c r="C42" s="3"/>
      <c r="D42" s="56" t="s">
        <v>275</v>
      </c>
      <c r="E42" s="57" t="s">
        <v>276</v>
      </c>
      <c r="F42" s="47" t="s">
        <v>121</v>
      </c>
      <c r="G42" s="48" t="s">
        <v>122</v>
      </c>
      <c r="H42" s="1268" t="s">
        <v>277</v>
      </c>
      <c r="I42" s="1269"/>
    </row>
    <row r="43" spans="1:9" ht="23.25" customHeight="1" x14ac:dyDescent="0.15">
      <c r="B43" s="2"/>
      <c r="C43" s="3"/>
      <c r="D43" s="13" t="s">
        <v>278</v>
      </c>
      <c r="E43" s="58" t="s">
        <v>279</v>
      </c>
      <c r="F43" s="53" t="s">
        <v>280</v>
      </c>
      <c r="G43" s="17" t="s">
        <v>281</v>
      </c>
      <c r="H43" s="1268"/>
      <c r="I43" s="1269"/>
    </row>
    <row r="44" spans="1:9" ht="23.25" customHeight="1" x14ac:dyDescent="0.15">
      <c r="A44" s="59" t="s">
        <v>282</v>
      </c>
      <c r="B44" s="60" t="s">
        <v>283</v>
      </c>
      <c r="D44" s="61" t="s">
        <v>57</v>
      </c>
      <c r="E44" s="62" t="s">
        <v>284</v>
      </c>
      <c r="F44" s="47" t="s">
        <v>131</v>
      </c>
      <c r="G44" s="48" t="s">
        <v>132</v>
      </c>
      <c r="H44" s="1268"/>
      <c r="I44" s="1269"/>
    </row>
    <row r="45" spans="1:9" ht="23.25" customHeight="1" x14ac:dyDescent="0.15">
      <c r="A45" s="1283" t="s">
        <v>285</v>
      </c>
      <c r="B45" s="1284"/>
      <c r="D45" s="63" t="s">
        <v>286</v>
      </c>
      <c r="E45" s="64" t="s">
        <v>287</v>
      </c>
      <c r="F45" s="63" t="s">
        <v>135</v>
      </c>
      <c r="G45" s="21" t="s">
        <v>136</v>
      </c>
      <c r="H45" s="1270"/>
      <c r="I45" s="1271"/>
    </row>
    <row r="46" spans="1:9" ht="23.25" customHeight="1" x14ac:dyDescent="0.15">
      <c r="A46" s="1233"/>
    </row>
    <row r="47" spans="1:9" ht="23.25" customHeight="1" x14ac:dyDescent="0.15">
      <c r="A47" s="1233"/>
    </row>
    <row r="49" spans="1:2" ht="23.25" customHeight="1" x14ac:dyDescent="0.15">
      <c r="A49" s="1232"/>
      <c r="B49" s="1232"/>
    </row>
  </sheetData>
  <mergeCells count="76">
    <mergeCell ref="A25:B26"/>
    <mergeCell ref="F18:H19"/>
    <mergeCell ref="F20:H21"/>
    <mergeCell ref="F22:H23"/>
    <mergeCell ref="E22:E23"/>
    <mergeCell ref="H42:I45"/>
    <mergeCell ref="A36:B37"/>
    <mergeCell ref="A38:B39"/>
    <mergeCell ref="H36:I37"/>
    <mergeCell ref="D35:G36"/>
    <mergeCell ref="F37:G38"/>
    <mergeCell ref="H41:I41"/>
    <mergeCell ref="A45:B45"/>
    <mergeCell ref="D33:F34"/>
    <mergeCell ref="H27:I28"/>
    <mergeCell ref="H39:I40"/>
    <mergeCell ref="H38:I38"/>
    <mergeCell ref="G27:G28"/>
    <mergeCell ref="H34:I34"/>
    <mergeCell ref="H35:I35"/>
    <mergeCell ref="D31:E31"/>
    <mergeCell ref="H31:I31"/>
    <mergeCell ref="D32:E32"/>
    <mergeCell ref="H32:I32"/>
    <mergeCell ref="H33:I33"/>
    <mergeCell ref="D27:E27"/>
    <mergeCell ref="D28:E28"/>
    <mergeCell ref="D30:E30"/>
    <mergeCell ref="H30:I30"/>
    <mergeCell ref="A49:B49"/>
    <mergeCell ref="A46:A47"/>
    <mergeCell ref="D3:D4"/>
    <mergeCell ref="D5:D6"/>
    <mergeCell ref="D7:D8"/>
    <mergeCell ref="D9:D10"/>
    <mergeCell ref="D11:D13"/>
    <mergeCell ref="D14:D15"/>
    <mergeCell ref="D16:D17"/>
    <mergeCell ref="D18:D19"/>
    <mergeCell ref="D20:D21"/>
    <mergeCell ref="D22:D23"/>
    <mergeCell ref="D37:E37"/>
    <mergeCell ref="E3:E4"/>
    <mergeCell ref="E5:E6"/>
    <mergeCell ref="A35:B35"/>
    <mergeCell ref="A1:B1"/>
    <mergeCell ref="F2:H2"/>
    <mergeCell ref="E25:I25"/>
    <mergeCell ref="D26:E26"/>
    <mergeCell ref="H26:I26"/>
    <mergeCell ref="E7:E8"/>
    <mergeCell ref="E9:E10"/>
    <mergeCell ref="E11:E13"/>
    <mergeCell ref="E14:E15"/>
    <mergeCell ref="E16:E17"/>
    <mergeCell ref="E18:E19"/>
    <mergeCell ref="E20:E21"/>
    <mergeCell ref="I9:I10"/>
    <mergeCell ref="I11:I13"/>
    <mergeCell ref="I3:I4"/>
    <mergeCell ref="I5:I6"/>
    <mergeCell ref="I7:I8"/>
    <mergeCell ref="D29:E29"/>
    <mergeCell ref="H29:I29"/>
    <mergeCell ref="I14:I15"/>
    <mergeCell ref="I16:I17"/>
    <mergeCell ref="I18:I19"/>
    <mergeCell ref="I20:I21"/>
    <mergeCell ref="I22:I23"/>
    <mergeCell ref="F14:H15"/>
    <mergeCell ref="F16:H17"/>
    <mergeCell ref="F3:H4"/>
    <mergeCell ref="F5:H6"/>
    <mergeCell ref="F11:H13"/>
    <mergeCell ref="F9:H10"/>
    <mergeCell ref="F7:H8"/>
  </mergeCells>
  <phoneticPr fontId="100"/>
  <printOptions horizontalCentered="1" verticalCentered="1"/>
  <pageMargins left="0.196527777777778" right="0.196527777777778" top="0.196527777777778" bottom="0.196527777777778" header="0" footer="0"/>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B1:AT14"/>
  <sheetViews>
    <sheetView showGridLines="0" topLeftCell="B1" workbookViewId="0">
      <selection activeCell="Q13" sqref="Q13"/>
    </sheetView>
  </sheetViews>
  <sheetFormatPr defaultColWidth="9.125" defaultRowHeight="20.25" customHeight="1" x14ac:dyDescent="0.15"/>
  <cols>
    <col min="1" max="1" width="2" style="90" customWidth="1"/>
    <col min="2" max="2" width="29.375" style="91" customWidth="1"/>
    <col min="3" max="3" width="14.75" style="152" customWidth="1"/>
    <col min="4" max="4" width="9.375" style="134" customWidth="1"/>
    <col min="5" max="5" width="4" style="133" bestFit="1" customWidth="1"/>
    <col min="6" max="6" width="9.375" style="134" customWidth="1"/>
    <col min="7" max="7" width="4" style="133" bestFit="1" customWidth="1"/>
    <col min="8" max="8" width="9.375" style="131" customWidth="1"/>
    <col min="9" max="9" width="4" style="133" bestFit="1" customWidth="1"/>
    <col min="10" max="10" width="9.375" style="131" customWidth="1"/>
    <col min="11" max="11" width="4" style="133" bestFit="1" customWidth="1"/>
    <col min="12" max="12" width="9.375" style="131" customWidth="1"/>
    <col min="13" max="13" width="14.75" style="151" customWidth="1"/>
    <col min="14" max="14" width="3.125" style="90" customWidth="1"/>
    <col min="15" max="15" width="9.125" style="132"/>
    <col min="16" max="16" width="14.625" style="307" customWidth="1"/>
    <col min="17" max="17" width="13.125" style="327" customWidth="1"/>
    <col min="18" max="18" width="10.875" style="132" customWidth="1"/>
    <col min="19" max="46" width="9.125" style="132"/>
    <col min="47" max="16384" width="9.125" style="90"/>
  </cols>
  <sheetData>
    <row r="1" spans="2:46" ht="6.75" customHeight="1" thickBot="1" x14ac:dyDescent="0.2"/>
    <row r="2" spans="2:46" s="89" customFormat="1" ht="36" customHeight="1" thickTop="1" thickBot="1" x14ac:dyDescent="0.2">
      <c r="B2" s="153" t="s">
        <v>308</v>
      </c>
      <c r="C2" s="361" t="s">
        <v>307</v>
      </c>
      <c r="D2" s="135" t="s">
        <v>326</v>
      </c>
      <c r="E2" s="362" t="s">
        <v>321</v>
      </c>
      <c r="F2" s="136" t="s">
        <v>325</v>
      </c>
      <c r="G2" s="362" t="s">
        <v>321</v>
      </c>
      <c r="H2" s="136" t="s">
        <v>324</v>
      </c>
      <c r="I2" s="362" t="s">
        <v>321</v>
      </c>
      <c r="J2" s="136" t="s">
        <v>323</v>
      </c>
      <c r="K2" s="362" t="s">
        <v>321</v>
      </c>
      <c r="L2" s="137" t="s">
        <v>301</v>
      </c>
      <c r="M2" s="363" t="s">
        <v>311</v>
      </c>
      <c r="O2" s="132"/>
      <c r="P2" s="316" t="s">
        <v>308</v>
      </c>
      <c r="Q2" s="328" t="str">
        <f>総合評価点数配分!M16</f>
        <v>D</v>
      </c>
      <c r="R2" s="321">
        <f>総合評価点数配分!AA3</f>
        <v>0</v>
      </c>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row>
    <row r="3" spans="2:46" s="150" customFormat="1" ht="42.75" customHeight="1" thickTop="1" thickBot="1" x14ac:dyDescent="0.2">
      <c r="B3" s="1296" t="s">
        <v>346</v>
      </c>
      <c r="C3" s="1297"/>
      <c r="D3" s="1297"/>
      <c r="E3" s="1297"/>
      <c r="F3" s="1297"/>
      <c r="G3" s="1297"/>
      <c r="H3" s="1297"/>
      <c r="I3" s="1297"/>
      <c r="J3" s="1297"/>
      <c r="K3" s="1297"/>
      <c r="L3" s="1297"/>
      <c r="M3" s="1298"/>
      <c r="N3" s="149"/>
      <c r="O3" s="201"/>
      <c r="P3" s="314"/>
      <c r="Q3" s="327"/>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row>
    <row r="4" spans="2:46" s="89" customFormat="1" ht="36" customHeight="1" thickTop="1" thickBot="1" x14ac:dyDescent="0.2">
      <c r="B4" s="154" t="s">
        <v>316</v>
      </c>
      <c r="C4" s="364" t="s">
        <v>348</v>
      </c>
      <c r="D4" s="138" t="s">
        <v>54</v>
      </c>
      <c r="E4" s="365" t="s">
        <v>321</v>
      </c>
      <c r="F4" s="140" t="s">
        <v>327</v>
      </c>
      <c r="G4" s="365" t="s">
        <v>321</v>
      </c>
      <c r="H4" s="139" t="s">
        <v>343</v>
      </c>
      <c r="I4" s="365" t="s">
        <v>321</v>
      </c>
      <c r="J4" s="140" t="s">
        <v>328</v>
      </c>
      <c r="K4" s="365" t="s">
        <v>321</v>
      </c>
      <c r="L4" s="141" t="s">
        <v>329</v>
      </c>
      <c r="M4" s="366" t="s">
        <v>341</v>
      </c>
      <c r="O4" s="132"/>
      <c r="P4" s="317" t="s">
        <v>309</v>
      </c>
      <c r="Q4" s="329" t="str">
        <f>総合評価点数配分!S9</f>
        <v>無し</v>
      </c>
      <c r="R4" s="322">
        <f>総合評価点数配分!AA4</f>
        <v>0</v>
      </c>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row>
    <row r="5" spans="2:46" s="150" customFormat="1" ht="43.5" customHeight="1" thickTop="1" thickBot="1" x14ac:dyDescent="0.2">
      <c r="B5" s="1299" t="s">
        <v>347</v>
      </c>
      <c r="C5" s="1300"/>
      <c r="D5" s="1300"/>
      <c r="E5" s="1300"/>
      <c r="F5" s="1300"/>
      <c r="G5" s="1300"/>
      <c r="H5" s="1300"/>
      <c r="I5" s="1300"/>
      <c r="J5" s="1300"/>
      <c r="K5" s="1300"/>
      <c r="L5" s="1300"/>
      <c r="M5" s="1301"/>
      <c r="N5" s="149"/>
      <c r="O5" s="201"/>
      <c r="P5" s="314"/>
      <c r="Q5" s="327"/>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row>
    <row r="6" spans="2:46" s="89" customFormat="1" ht="36" customHeight="1" thickTop="1" thickBot="1" x14ac:dyDescent="0.2">
      <c r="B6" s="155" t="s">
        <v>317</v>
      </c>
      <c r="C6" s="367" t="s">
        <v>333</v>
      </c>
      <c r="D6" s="142" t="s">
        <v>334</v>
      </c>
      <c r="E6" s="368"/>
      <c r="F6" s="143" t="s">
        <v>333</v>
      </c>
      <c r="G6" s="368" t="s">
        <v>330</v>
      </c>
      <c r="H6" s="144" t="s">
        <v>331</v>
      </c>
      <c r="I6" s="368" t="s">
        <v>321</v>
      </c>
      <c r="J6" s="144" t="s">
        <v>332</v>
      </c>
      <c r="K6" s="368" t="s">
        <v>321</v>
      </c>
      <c r="L6" s="145" t="s">
        <v>312</v>
      </c>
      <c r="M6" s="369" t="s">
        <v>312</v>
      </c>
      <c r="O6" s="132"/>
      <c r="P6" s="318" t="s">
        <v>416</v>
      </c>
      <c r="Q6" s="330" t="str">
        <f>総合評価点数配分!Y5</f>
        <v>静か</v>
      </c>
      <c r="R6" s="323">
        <f>総合評価点数配分!AA5</f>
        <v>20</v>
      </c>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row>
    <row r="7" spans="2:46" s="150" customFormat="1" ht="53.25" customHeight="1" thickTop="1" thickBot="1" x14ac:dyDescent="0.2">
      <c r="B7" s="1302" t="s">
        <v>349</v>
      </c>
      <c r="C7" s="1303"/>
      <c r="D7" s="1303"/>
      <c r="E7" s="1303"/>
      <c r="F7" s="1303"/>
      <c r="G7" s="1303"/>
      <c r="H7" s="1303"/>
      <c r="I7" s="1303"/>
      <c r="J7" s="1303"/>
      <c r="K7" s="1303"/>
      <c r="L7" s="1303"/>
      <c r="M7" s="1304"/>
      <c r="N7" s="149"/>
      <c r="O7" s="201"/>
      <c r="P7" s="314"/>
      <c r="Q7" s="327"/>
      <c r="R7" s="201" t="s">
        <v>322</v>
      </c>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row>
    <row r="8" spans="2:46" s="89" customFormat="1" ht="36" customHeight="1" thickTop="1" thickBot="1" x14ac:dyDescent="0.2">
      <c r="B8" s="157" t="s">
        <v>318</v>
      </c>
      <c r="C8" s="370" t="s">
        <v>313</v>
      </c>
      <c r="D8" s="158" t="s">
        <v>335</v>
      </c>
      <c r="E8" s="371" t="s">
        <v>426</v>
      </c>
      <c r="F8" s="159" t="s">
        <v>338</v>
      </c>
      <c r="G8" s="371" t="s">
        <v>426</v>
      </c>
      <c r="H8" s="160" t="s">
        <v>310</v>
      </c>
      <c r="I8" s="371" t="s">
        <v>321</v>
      </c>
      <c r="J8" s="160" t="s">
        <v>314</v>
      </c>
      <c r="K8" s="371" t="s">
        <v>321</v>
      </c>
      <c r="L8" s="161" t="s">
        <v>336</v>
      </c>
      <c r="M8" s="372" t="s">
        <v>337</v>
      </c>
      <c r="O8" s="132"/>
      <c r="P8" s="319" t="s">
        <v>420</v>
      </c>
      <c r="Q8" s="331" t="str">
        <f>総合評価点数配分!Y6</f>
        <v>最高</v>
      </c>
      <c r="R8" s="324">
        <f>総合評価点数配分!AA6</f>
        <v>20</v>
      </c>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row>
    <row r="9" spans="2:46" s="150" customFormat="1" ht="43.5" customHeight="1" thickTop="1" thickBot="1" x14ac:dyDescent="0.2">
      <c r="B9" s="1305" t="s">
        <v>345</v>
      </c>
      <c r="C9" s="1306"/>
      <c r="D9" s="1306"/>
      <c r="E9" s="1306"/>
      <c r="F9" s="1306"/>
      <c r="G9" s="1306"/>
      <c r="H9" s="1306"/>
      <c r="I9" s="1306"/>
      <c r="J9" s="1306"/>
      <c r="K9" s="1306"/>
      <c r="L9" s="1306"/>
      <c r="M9" s="1307"/>
      <c r="N9" s="149"/>
      <c r="O9" s="201"/>
      <c r="P9" s="314"/>
      <c r="Q9" s="327"/>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row>
    <row r="10" spans="2:46" s="89" customFormat="1" ht="36" customHeight="1" thickTop="1" thickBot="1" x14ac:dyDescent="0.2">
      <c r="B10" s="156" t="s">
        <v>315</v>
      </c>
      <c r="C10" s="373" t="s">
        <v>320</v>
      </c>
      <c r="D10" s="146" t="s">
        <v>326</v>
      </c>
      <c r="E10" s="374" t="s">
        <v>321</v>
      </c>
      <c r="F10" s="147" t="s">
        <v>325</v>
      </c>
      <c r="G10" s="374" t="s">
        <v>321</v>
      </c>
      <c r="H10" s="147" t="s">
        <v>324</v>
      </c>
      <c r="I10" s="374" t="s">
        <v>321</v>
      </c>
      <c r="J10" s="147" t="s">
        <v>323</v>
      </c>
      <c r="K10" s="374" t="s">
        <v>321</v>
      </c>
      <c r="L10" s="148" t="s">
        <v>301</v>
      </c>
      <c r="M10" s="375" t="s">
        <v>339</v>
      </c>
      <c r="O10" s="132"/>
      <c r="P10" s="320" t="s">
        <v>315</v>
      </c>
      <c r="Q10" s="332" t="str">
        <f>総合評価点数配分!S26</f>
        <v>D</v>
      </c>
      <c r="R10" s="325">
        <f>総合評価点数配分!AA7</f>
        <v>0</v>
      </c>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row>
    <row r="11" spans="2:46" s="150" customFormat="1" ht="43.5" customHeight="1" thickTop="1" thickBot="1" x14ac:dyDescent="0.2">
      <c r="B11" s="1308" t="s">
        <v>350</v>
      </c>
      <c r="C11" s="1309"/>
      <c r="D11" s="1309"/>
      <c r="E11" s="1309"/>
      <c r="F11" s="1309"/>
      <c r="G11" s="1309"/>
      <c r="H11" s="1309"/>
      <c r="I11" s="1309"/>
      <c r="J11" s="1309"/>
      <c r="K11" s="1309"/>
      <c r="L11" s="1309"/>
      <c r="M11" s="1310"/>
      <c r="N11" s="149"/>
      <c r="O11" s="201"/>
      <c r="P11" s="314"/>
      <c r="Q11" s="327"/>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row>
    <row r="12" spans="2:46" s="89" customFormat="1" ht="36" customHeight="1" thickTop="1" thickBot="1" x14ac:dyDescent="0.2">
      <c r="B12" s="197" t="s">
        <v>319</v>
      </c>
      <c r="C12" s="376" t="s">
        <v>313</v>
      </c>
      <c r="D12" s="198" t="s">
        <v>326</v>
      </c>
      <c r="E12" s="377" t="s">
        <v>321</v>
      </c>
      <c r="F12" s="199" t="s">
        <v>325</v>
      </c>
      <c r="G12" s="377" t="s">
        <v>321</v>
      </c>
      <c r="H12" s="199" t="s">
        <v>324</v>
      </c>
      <c r="I12" s="377" t="s">
        <v>321</v>
      </c>
      <c r="J12" s="199" t="s">
        <v>323</v>
      </c>
      <c r="K12" s="377" t="s">
        <v>321</v>
      </c>
      <c r="L12" s="200" t="s">
        <v>301</v>
      </c>
      <c r="M12" s="378" t="s">
        <v>340</v>
      </c>
      <c r="O12" s="132"/>
      <c r="P12" s="315" t="s">
        <v>319</v>
      </c>
      <c r="Q12" s="333" t="str">
        <f>総合評価点数配分!AA10</f>
        <v>D</v>
      </c>
      <c r="R12" s="326">
        <f>総合評価点数配分!AA7</f>
        <v>0</v>
      </c>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row>
    <row r="13" spans="2:46" s="150" customFormat="1" ht="52.5" customHeight="1" thickTop="1" thickBot="1" x14ac:dyDescent="0.2">
      <c r="B13" s="1293" t="s">
        <v>344</v>
      </c>
      <c r="C13" s="1294"/>
      <c r="D13" s="1294"/>
      <c r="E13" s="1294"/>
      <c r="F13" s="1294"/>
      <c r="G13" s="1294"/>
      <c r="H13" s="1294"/>
      <c r="I13" s="1294"/>
      <c r="J13" s="1294"/>
      <c r="K13" s="1294"/>
      <c r="L13" s="1294"/>
      <c r="M13" s="1295"/>
      <c r="N13" s="149"/>
      <c r="O13" s="201"/>
      <c r="P13" s="314"/>
      <c r="Q13" s="327"/>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row>
    <row r="14" spans="2:46" ht="20.25" customHeight="1" thickTop="1" x14ac:dyDescent="0.15"/>
  </sheetData>
  <sheetProtection sheet="1" objects="1" scenarios="1" formatCells="0"/>
  <mergeCells count="6">
    <mergeCell ref="B13:M13"/>
    <mergeCell ref="B3:M3"/>
    <mergeCell ref="B5:M5"/>
    <mergeCell ref="B7:M7"/>
    <mergeCell ref="B9:M9"/>
    <mergeCell ref="B11:M11"/>
  </mergeCells>
  <phoneticPr fontId="100"/>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J47"/>
  <sheetViews>
    <sheetView workbookViewId="0">
      <selection activeCell="M17" sqref="M17"/>
    </sheetView>
  </sheetViews>
  <sheetFormatPr defaultColWidth="22.375" defaultRowHeight="22.5" customHeight="1" x14ac:dyDescent="0.15"/>
  <cols>
    <col min="1" max="1" width="19.125" style="1" customWidth="1"/>
    <col min="2" max="2" width="13.875" style="1" customWidth="1"/>
    <col min="3" max="4" width="10.25" style="2" customWidth="1"/>
    <col min="5" max="5" width="2.875" style="1" customWidth="1"/>
    <col min="6" max="6" width="26.625" style="1" customWidth="1"/>
    <col min="7" max="7" width="10" style="2" customWidth="1"/>
    <col min="8" max="8" width="2.75" style="1" customWidth="1"/>
    <col min="9" max="9" width="40.375" style="1" customWidth="1"/>
    <col min="10" max="10" width="14.625" style="2" customWidth="1"/>
    <col min="11" max="11" width="4.25" style="1" customWidth="1"/>
    <col min="12" max="16384" width="22.375" style="1"/>
  </cols>
  <sheetData>
    <row r="1" spans="1:10" ht="22.5" customHeight="1" x14ac:dyDescent="0.15">
      <c r="A1" s="1" t="s">
        <v>67</v>
      </c>
    </row>
    <row r="2" spans="1:10" ht="22.5" customHeight="1" thickBot="1" x14ac:dyDescent="0.2">
      <c r="A2" s="1" t="s">
        <v>351</v>
      </c>
    </row>
    <row r="3" spans="1:10" s="6" customFormat="1" ht="22.5" customHeight="1" x14ac:dyDescent="0.15">
      <c r="A3" s="1313" t="s">
        <v>68</v>
      </c>
      <c r="B3" s="1314"/>
      <c r="C3" s="196" t="s">
        <v>69</v>
      </c>
      <c r="D3" s="165" t="s">
        <v>352</v>
      </c>
      <c r="F3" s="65" t="s">
        <v>70</v>
      </c>
      <c r="G3" s="66" t="s">
        <v>69</v>
      </c>
      <c r="I3" s="67" t="s">
        <v>64</v>
      </c>
      <c r="J3" s="85" t="s">
        <v>69</v>
      </c>
    </row>
    <row r="4" spans="1:10" ht="22.5" customHeight="1" x14ac:dyDescent="0.15">
      <c r="A4" s="1311" t="s">
        <v>71</v>
      </c>
      <c r="B4" s="1312"/>
      <c r="C4" s="162">
        <v>0</v>
      </c>
      <c r="D4" s="166"/>
      <c r="F4" s="31" t="s">
        <v>72</v>
      </c>
      <c r="G4" s="40">
        <v>-2</v>
      </c>
      <c r="I4" s="31" t="s">
        <v>73</v>
      </c>
      <c r="J4" s="40">
        <v>-2</v>
      </c>
    </row>
    <row r="5" spans="1:10" ht="22.5" customHeight="1" x14ac:dyDescent="0.15">
      <c r="A5" s="1315" t="s">
        <v>74</v>
      </c>
      <c r="B5" s="1316"/>
      <c r="C5" s="163">
        <v>1</v>
      </c>
      <c r="D5" s="167"/>
      <c r="F5" s="68" t="s">
        <v>75</v>
      </c>
      <c r="G5" s="69">
        <v>-2</v>
      </c>
      <c r="I5" s="70" t="s">
        <v>76</v>
      </c>
      <c r="J5" s="86">
        <v>-2</v>
      </c>
    </row>
    <row r="6" spans="1:10" ht="22.5" customHeight="1" x14ac:dyDescent="0.15">
      <c r="A6" s="1315" t="s">
        <v>77</v>
      </c>
      <c r="B6" s="1316"/>
      <c r="C6" s="163">
        <v>2</v>
      </c>
      <c r="D6" s="167"/>
      <c r="F6" s="31" t="s">
        <v>78</v>
      </c>
      <c r="G6" s="40">
        <v>-2</v>
      </c>
      <c r="I6" s="31" t="s">
        <v>79</v>
      </c>
      <c r="J6" s="40">
        <v>-2</v>
      </c>
    </row>
    <row r="7" spans="1:10" ht="22.5" customHeight="1" x14ac:dyDescent="0.15">
      <c r="A7" s="1311" t="s">
        <v>80</v>
      </c>
      <c r="B7" s="1312"/>
      <c r="C7" s="162">
        <v>2</v>
      </c>
      <c r="D7" s="166"/>
      <c r="F7" s="68" t="s">
        <v>81</v>
      </c>
      <c r="G7" s="69">
        <v>-2</v>
      </c>
      <c r="I7" s="70" t="s">
        <v>82</v>
      </c>
      <c r="J7" s="86">
        <v>-2</v>
      </c>
    </row>
    <row r="8" spans="1:10" ht="22.5" customHeight="1" thickBot="1" x14ac:dyDescent="0.2">
      <c r="A8" s="1317" t="s">
        <v>83</v>
      </c>
      <c r="B8" s="1318"/>
      <c r="C8" s="194">
        <v>2</v>
      </c>
      <c r="D8" s="195"/>
      <c r="F8" s="31" t="s">
        <v>84</v>
      </c>
      <c r="G8" s="40">
        <v>-2</v>
      </c>
      <c r="I8" s="31" t="s">
        <v>85</v>
      </c>
      <c r="J8" s="40">
        <v>-2</v>
      </c>
    </row>
    <row r="9" spans="1:10" ht="22.5" customHeight="1" thickBot="1" x14ac:dyDescent="0.2">
      <c r="D9" s="187"/>
      <c r="F9" s="68" t="s">
        <v>86</v>
      </c>
      <c r="G9" s="69">
        <v>-2</v>
      </c>
      <c r="I9" s="70" t="s">
        <v>87</v>
      </c>
      <c r="J9" s="86">
        <v>-10</v>
      </c>
    </row>
    <row r="10" spans="1:10" ht="22.5" customHeight="1" thickBot="1" x14ac:dyDescent="0.2">
      <c r="A10" s="1319" t="s">
        <v>88</v>
      </c>
      <c r="B10" s="1320"/>
      <c r="C10" s="192" t="s">
        <v>69</v>
      </c>
      <c r="D10" s="193" t="s">
        <v>360</v>
      </c>
      <c r="E10" s="71"/>
      <c r="F10" s="31" t="s">
        <v>89</v>
      </c>
      <c r="G10" s="40">
        <v>-2</v>
      </c>
      <c r="I10" s="72" t="s">
        <v>90</v>
      </c>
      <c r="J10" s="73">
        <v>-10</v>
      </c>
    </row>
    <row r="11" spans="1:10" ht="22.5" customHeight="1" thickBot="1" x14ac:dyDescent="0.2">
      <c r="A11" s="1311" t="s">
        <v>91</v>
      </c>
      <c r="B11" s="1312"/>
      <c r="C11" s="162">
        <v>10</v>
      </c>
      <c r="D11" s="166"/>
      <c r="F11" s="68" t="s">
        <v>92</v>
      </c>
      <c r="G11" s="69">
        <v>-2</v>
      </c>
    </row>
    <row r="12" spans="1:10" ht="22.5" customHeight="1" thickBot="1" x14ac:dyDescent="0.2">
      <c r="A12" s="1315" t="s">
        <v>93</v>
      </c>
      <c r="B12" s="1316"/>
      <c r="C12" s="163">
        <v>6</v>
      </c>
      <c r="D12" s="167"/>
      <c r="F12" s="72" t="s">
        <v>94</v>
      </c>
      <c r="G12" s="73">
        <v>-2</v>
      </c>
      <c r="I12" s="74" t="s">
        <v>65</v>
      </c>
      <c r="J12" s="87" t="s">
        <v>69</v>
      </c>
    </row>
    <row r="13" spans="1:10" ht="22.5" customHeight="1" thickBot="1" x14ac:dyDescent="0.2">
      <c r="A13" s="1311" t="s">
        <v>95</v>
      </c>
      <c r="B13" s="1312"/>
      <c r="C13" s="162"/>
      <c r="D13" s="166"/>
      <c r="I13" s="31" t="s">
        <v>96</v>
      </c>
      <c r="J13" s="40">
        <v>3</v>
      </c>
    </row>
    <row r="14" spans="1:10" ht="22.5" customHeight="1" x14ac:dyDescent="0.15">
      <c r="A14" s="1315" t="s">
        <v>97</v>
      </c>
      <c r="B14" s="1316"/>
      <c r="C14" s="163">
        <v>8</v>
      </c>
      <c r="D14" s="167"/>
      <c r="F14" s="75" t="s">
        <v>98</v>
      </c>
      <c r="G14" s="76" t="s">
        <v>69</v>
      </c>
      <c r="I14" s="77" t="s">
        <v>99</v>
      </c>
      <c r="J14" s="88">
        <v>3</v>
      </c>
    </row>
    <row r="15" spans="1:10" ht="22.5" customHeight="1" x14ac:dyDescent="0.15">
      <c r="A15" s="1311" t="s">
        <v>100</v>
      </c>
      <c r="B15" s="1312"/>
      <c r="C15" s="162">
        <v>2</v>
      </c>
      <c r="D15" s="166"/>
      <c r="F15" s="31" t="s">
        <v>101</v>
      </c>
      <c r="G15" s="40">
        <v>-2</v>
      </c>
      <c r="I15" s="31" t="s">
        <v>102</v>
      </c>
      <c r="J15" s="40" t="s">
        <v>103</v>
      </c>
    </row>
    <row r="16" spans="1:10" ht="22.5" customHeight="1" thickBot="1" x14ac:dyDescent="0.2">
      <c r="A16" s="1317" t="s">
        <v>104</v>
      </c>
      <c r="B16" s="1318"/>
      <c r="C16" s="194">
        <v>8</v>
      </c>
      <c r="D16" s="195"/>
      <c r="F16" s="78" t="s">
        <v>105</v>
      </c>
      <c r="G16" s="79">
        <v>-2</v>
      </c>
      <c r="I16" s="77" t="s">
        <v>1</v>
      </c>
      <c r="J16" s="88">
        <v>1</v>
      </c>
    </row>
    <row r="17" spans="1:10" ht="22.5" customHeight="1" thickBot="1" x14ac:dyDescent="0.2">
      <c r="D17" s="187"/>
      <c r="F17" s="31" t="s">
        <v>106</v>
      </c>
      <c r="G17" s="40">
        <v>-2</v>
      </c>
      <c r="I17" s="31" t="s">
        <v>107</v>
      </c>
      <c r="J17" s="40">
        <v>1</v>
      </c>
    </row>
    <row r="18" spans="1:10" ht="22.5" customHeight="1" x14ac:dyDescent="0.15">
      <c r="A18" s="188" t="s">
        <v>108</v>
      </c>
      <c r="B18" s="181" t="s">
        <v>109</v>
      </c>
      <c r="C18" s="182">
        <v>10</v>
      </c>
      <c r="D18" s="183"/>
      <c r="F18" s="78" t="s">
        <v>110</v>
      </c>
      <c r="G18" s="79">
        <v>-2</v>
      </c>
      <c r="I18" s="77" t="s">
        <v>111</v>
      </c>
      <c r="J18" s="88">
        <v>10</v>
      </c>
    </row>
    <row r="19" spans="1:10" ht="22.5" customHeight="1" x14ac:dyDescent="0.15">
      <c r="A19" s="189" t="s">
        <v>112</v>
      </c>
      <c r="B19" s="80" t="s">
        <v>113</v>
      </c>
      <c r="C19" s="163">
        <v>8</v>
      </c>
      <c r="D19" s="167"/>
      <c r="F19" s="31" t="s">
        <v>114</v>
      </c>
      <c r="G19" s="40">
        <v>-2</v>
      </c>
      <c r="I19" s="31" t="s">
        <v>115</v>
      </c>
      <c r="J19" s="40">
        <v>1</v>
      </c>
    </row>
    <row r="20" spans="1:10" ht="22.5" customHeight="1" thickBot="1" x14ac:dyDescent="0.2">
      <c r="A20" s="1321" t="s">
        <v>116</v>
      </c>
      <c r="B20" s="32" t="s">
        <v>117</v>
      </c>
      <c r="C20" s="162">
        <v>3</v>
      </c>
      <c r="D20" s="166"/>
      <c r="F20" s="81" t="s">
        <v>94</v>
      </c>
      <c r="G20" s="82">
        <v>-2</v>
      </c>
      <c r="I20" s="77" t="s">
        <v>118</v>
      </c>
      <c r="J20" s="88">
        <v>1</v>
      </c>
    </row>
    <row r="21" spans="1:10" ht="22.5" customHeight="1" x14ac:dyDescent="0.15">
      <c r="A21" s="1321"/>
      <c r="B21" s="32" t="s">
        <v>119</v>
      </c>
      <c r="C21" s="162">
        <v>0</v>
      </c>
      <c r="D21" s="166"/>
      <c r="I21" s="31" t="s">
        <v>120</v>
      </c>
      <c r="J21" s="40">
        <v>1</v>
      </c>
    </row>
    <row r="22" spans="1:10" ht="22.5" customHeight="1" x14ac:dyDescent="0.15">
      <c r="A22" s="189" t="s">
        <v>121</v>
      </c>
      <c r="B22" s="80" t="s">
        <v>122</v>
      </c>
      <c r="C22" s="163">
        <v>0</v>
      </c>
      <c r="D22" s="167"/>
      <c r="F22" s="1272" t="s">
        <v>123</v>
      </c>
      <c r="G22" s="1272"/>
      <c r="I22" s="77" t="s">
        <v>124</v>
      </c>
      <c r="J22" s="88">
        <v>2</v>
      </c>
    </row>
    <row r="23" spans="1:10" ht="22.5" customHeight="1" x14ac:dyDescent="0.15">
      <c r="A23" s="1321" t="s">
        <v>125</v>
      </c>
      <c r="B23" s="32" t="s">
        <v>126</v>
      </c>
      <c r="C23" s="162">
        <v>0</v>
      </c>
      <c r="D23" s="166"/>
      <c r="F23" s="1272"/>
      <c r="G23" s="1272"/>
      <c r="I23" s="31" t="s">
        <v>127</v>
      </c>
      <c r="J23" s="40" t="s">
        <v>128</v>
      </c>
    </row>
    <row r="24" spans="1:10" ht="22.5" customHeight="1" x14ac:dyDescent="0.15">
      <c r="A24" s="1321"/>
      <c r="B24" s="32" t="s">
        <v>129</v>
      </c>
      <c r="C24" s="162">
        <v>3</v>
      </c>
      <c r="D24" s="166"/>
      <c r="F24" s="1272"/>
      <c r="G24" s="1272"/>
      <c r="I24" s="77" t="s">
        <v>130</v>
      </c>
      <c r="J24" s="88" t="s">
        <v>103</v>
      </c>
    </row>
    <row r="25" spans="1:10" ht="22.5" customHeight="1" thickBot="1" x14ac:dyDescent="0.2">
      <c r="A25" s="189" t="s">
        <v>131</v>
      </c>
      <c r="B25" s="80" t="s">
        <v>132</v>
      </c>
      <c r="C25" s="163">
        <v>8</v>
      </c>
      <c r="D25" s="167"/>
      <c r="F25" s="1272"/>
      <c r="G25" s="1272"/>
      <c r="H25" s="83">
        <v>10</v>
      </c>
      <c r="I25" s="72" t="s">
        <v>133</v>
      </c>
      <c r="J25" s="73" t="s">
        <v>134</v>
      </c>
    </row>
    <row r="26" spans="1:10" ht="22.5" customHeight="1" thickBot="1" x14ac:dyDescent="0.2">
      <c r="A26" s="190" t="s">
        <v>135</v>
      </c>
      <c r="B26" s="191" t="s">
        <v>136</v>
      </c>
      <c r="C26" s="185">
        <v>10</v>
      </c>
      <c r="D26" s="186"/>
      <c r="F26" s="1272"/>
      <c r="G26" s="1272"/>
    </row>
    <row r="27" spans="1:10" ht="22.5" customHeight="1" thickBot="1" x14ac:dyDescent="0.2">
      <c r="D27" s="187"/>
      <c r="F27" s="1272"/>
      <c r="G27" s="1272"/>
    </row>
    <row r="28" spans="1:10" ht="22.5" customHeight="1" x14ac:dyDescent="0.15">
      <c r="A28" s="1322" t="s">
        <v>39</v>
      </c>
      <c r="B28" s="181" t="s">
        <v>137</v>
      </c>
      <c r="C28" s="182">
        <v>1</v>
      </c>
      <c r="D28" s="183"/>
      <c r="F28" s="1272"/>
      <c r="G28" s="1272"/>
    </row>
    <row r="29" spans="1:10" ht="22.5" customHeight="1" x14ac:dyDescent="0.15">
      <c r="A29" s="1323"/>
      <c r="B29" s="80" t="s">
        <v>353</v>
      </c>
      <c r="C29" s="163">
        <v>2</v>
      </c>
      <c r="D29" s="167"/>
      <c r="F29" s="1272"/>
      <c r="G29" s="1272"/>
    </row>
    <row r="30" spans="1:10" ht="22.5" customHeight="1" thickBot="1" x14ac:dyDescent="0.2">
      <c r="A30" s="1324"/>
      <c r="B30" s="184" t="s">
        <v>354</v>
      </c>
      <c r="C30" s="185">
        <v>1</v>
      </c>
      <c r="D30" s="186"/>
      <c r="F30" s="1272"/>
      <c r="G30" s="1272"/>
    </row>
    <row r="31" spans="1:10" ht="22.5" customHeight="1" x14ac:dyDescent="0.15">
      <c r="A31" s="1325" t="s">
        <v>40</v>
      </c>
      <c r="B31" s="181" t="s">
        <v>139</v>
      </c>
      <c r="C31" s="182">
        <v>1</v>
      </c>
      <c r="D31" s="183"/>
      <c r="F31" s="1272"/>
      <c r="G31" s="1272"/>
    </row>
    <row r="32" spans="1:10" ht="22.5" customHeight="1" x14ac:dyDescent="0.15">
      <c r="A32" s="1326"/>
      <c r="B32" s="84" t="s">
        <v>140</v>
      </c>
      <c r="C32" s="164">
        <v>2</v>
      </c>
      <c r="D32" s="168"/>
      <c r="F32" s="1272"/>
      <c r="G32" s="1272"/>
    </row>
    <row r="33" spans="1:9" ht="22.5" customHeight="1" thickBot="1" x14ac:dyDescent="0.2">
      <c r="A33" s="1327"/>
      <c r="B33" s="184" t="s">
        <v>138</v>
      </c>
      <c r="C33" s="185">
        <v>1</v>
      </c>
      <c r="D33" s="186"/>
      <c r="F33" s="1272"/>
      <c r="G33" s="1272"/>
    </row>
    <row r="34" spans="1:9" ht="22.5" customHeight="1" x14ac:dyDescent="0.15">
      <c r="A34" s="1328" t="s">
        <v>141</v>
      </c>
      <c r="B34" s="179" t="s">
        <v>142</v>
      </c>
      <c r="C34" s="180">
        <v>1</v>
      </c>
      <c r="D34" s="176"/>
    </row>
    <row r="35" spans="1:9" ht="22.5" customHeight="1" x14ac:dyDescent="0.15">
      <c r="A35" s="1328"/>
      <c r="B35" s="80" t="s">
        <v>143</v>
      </c>
      <c r="C35" s="163">
        <v>3</v>
      </c>
      <c r="D35" s="167"/>
    </row>
    <row r="36" spans="1:9" ht="22.5" customHeight="1" thickBot="1" x14ac:dyDescent="0.2">
      <c r="A36" s="1328"/>
      <c r="B36" s="173" t="s">
        <v>144</v>
      </c>
      <c r="C36" s="174">
        <v>5</v>
      </c>
      <c r="D36" s="175"/>
    </row>
    <row r="37" spans="1:9" ht="22.5" customHeight="1" thickBot="1" x14ac:dyDescent="0.2">
      <c r="A37" s="1335" t="s">
        <v>298</v>
      </c>
      <c r="B37" s="1336"/>
      <c r="C37" s="1337"/>
      <c r="D37" s="177">
        <f>SUM(D4:D36)</f>
        <v>0</v>
      </c>
    </row>
    <row r="38" spans="1:9" ht="22.5" customHeight="1" x14ac:dyDescent="0.15">
      <c r="A38" s="1329" t="s">
        <v>145</v>
      </c>
      <c r="B38" s="1331" t="s">
        <v>146</v>
      </c>
      <c r="C38" s="1331"/>
      <c r="D38" s="169"/>
    </row>
    <row r="39" spans="1:9" ht="22.5" customHeight="1" thickBot="1" x14ac:dyDescent="0.2">
      <c r="A39" s="1330"/>
      <c r="B39" s="1332"/>
      <c r="C39" s="1332"/>
      <c r="D39" s="169"/>
    </row>
    <row r="40" spans="1:9" ht="22.5" customHeight="1" thickBot="1" x14ac:dyDescent="0.2">
      <c r="A40" s="1333" t="s">
        <v>147</v>
      </c>
      <c r="B40" s="1331" t="s">
        <v>148</v>
      </c>
      <c r="C40" s="1331"/>
      <c r="D40" s="169"/>
      <c r="I40" s="178"/>
    </row>
    <row r="41" spans="1:9" ht="22.5" customHeight="1" thickBot="1" x14ac:dyDescent="0.2">
      <c r="A41" s="1334"/>
      <c r="B41" s="1332"/>
      <c r="C41" s="1332"/>
      <c r="D41" s="170"/>
    </row>
    <row r="42" spans="1:9" ht="22.5" customHeight="1" x14ac:dyDescent="0.15">
      <c r="A42" s="1" t="s">
        <v>355</v>
      </c>
      <c r="B42" s="1" t="s">
        <v>301</v>
      </c>
    </row>
    <row r="43" spans="1:9" ht="22.5" customHeight="1" x14ac:dyDescent="0.15">
      <c r="A43" s="1" t="s">
        <v>356</v>
      </c>
      <c r="B43" s="1" t="s">
        <v>323</v>
      </c>
      <c r="C43" s="1"/>
      <c r="D43" s="1"/>
    </row>
    <row r="44" spans="1:9" ht="22.5" customHeight="1" x14ac:dyDescent="0.15">
      <c r="A44" s="1" t="s">
        <v>357</v>
      </c>
      <c r="B44" s="1" t="s">
        <v>324</v>
      </c>
      <c r="C44" s="1"/>
      <c r="D44" s="1"/>
    </row>
    <row r="45" spans="1:9" ht="22.5" customHeight="1" x14ac:dyDescent="0.15">
      <c r="A45" s="1" t="s">
        <v>358</v>
      </c>
      <c r="B45" s="1" t="s">
        <v>325</v>
      </c>
      <c r="C45" s="1"/>
      <c r="D45" s="1"/>
    </row>
    <row r="46" spans="1:9" ht="22.5" customHeight="1" x14ac:dyDescent="0.15">
      <c r="A46" s="1" t="s">
        <v>359</v>
      </c>
      <c r="B46" s="1" t="s">
        <v>326</v>
      </c>
      <c r="C46" s="1"/>
      <c r="D46" s="1"/>
    </row>
    <row r="47" spans="1:9" ht="22.5" customHeight="1" x14ac:dyDescent="0.15">
      <c r="A47" s="171"/>
      <c r="B47" s="171"/>
      <c r="C47" s="172"/>
      <c r="D47" s="172"/>
    </row>
  </sheetData>
  <mergeCells count="24">
    <mergeCell ref="A34:A36"/>
    <mergeCell ref="A38:A39"/>
    <mergeCell ref="B38:C39"/>
    <mergeCell ref="A40:A41"/>
    <mergeCell ref="B40:C41"/>
    <mergeCell ref="A37:C37"/>
    <mergeCell ref="A16:B16"/>
    <mergeCell ref="A20:A21"/>
    <mergeCell ref="F22:G33"/>
    <mergeCell ref="A23:A24"/>
    <mergeCell ref="A28:A30"/>
    <mergeCell ref="A31:A33"/>
    <mergeCell ref="A15:B15"/>
    <mergeCell ref="A3:B3"/>
    <mergeCell ref="A4:B4"/>
    <mergeCell ref="A5:B5"/>
    <mergeCell ref="A6:B6"/>
    <mergeCell ref="A7:B7"/>
    <mergeCell ref="A8:B8"/>
    <mergeCell ref="A10:B10"/>
    <mergeCell ref="A11:B11"/>
    <mergeCell ref="A12:B12"/>
    <mergeCell ref="A13:B13"/>
    <mergeCell ref="A14:B14"/>
  </mergeCells>
  <phoneticPr fontId="100"/>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B1:L12"/>
  <sheetViews>
    <sheetView showGridLines="0" workbookViewId="0">
      <selection activeCell="E15" sqref="E15"/>
    </sheetView>
  </sheetViews>
  <sheetFormatPr defaultColWidth="9.125" defaultRowHeight="20.25" customHeight="1" x14ac:dyDescent="0.15"/>
  <cols>
    <col min="1" max="1" width="2" style="94" customWidth="1"/>
    <col min="2" max="2" width="26.875" style="95" customWidth="1"/>
    <col min="3" max="3" width="15.75" style="94" customWidth="1"/>
    <col min="4" max="4" width="5.625" style="94" customWidth="1"/>
    <col min="5" max="5" width="15.625" style="94" customWidth="1"/>
    <col min="6" max="6" width="22.75" style="94" customWidth="1"/>
    <col min="7" max="7" width="10.875" style="96" customWidth="1"/>
    <col min="8" max="8" width="28.125" style="94" customWidth="1"/>
    <col min="9" max="10" width="13.375" style="94" customWidth="1"/>
    <col min="11" max="11" width="28.125" style="94" customWidth="1"/>
    <col min="12" max="16384" width="9.125" style="94"/>
  </cols>
  <sheetData>
    <row r="1" spans="2:12" ht="20.25" customHeight="1" x14ac:dyDescent="0.15">
      <c r="C1" s="95"/>
      <c r="D1" s="95"/>
      <c r="E1" s="95"/>
      <c r="F1" s="95"/>
      <c r="G1" s="97"/>
      <c r="H1" s="95"/>
    </row>
    <row r="2" spans="2:12" s="92" customFormat="1" ht="48" customHeight="1" x14ac:dyDescent="0.15">
      <c r="B2" s="98" t="s">
        <v>0</v>
      </c>
      <c r="C2" s="1338"/>
      <c r="D2" s="1338"/>
      <c r="E2" s="1338"/>
      <c r="F2" s="99" t="s">
        <v>44</v>
      </c>
      <c r="G2" s="1338"/>
      <c r="H2" s="1339"/>
      <c r="I2" s="94"/>
      <c r="J2" s="94"/>
      <c r="K2" s="94"/>
      <c r="L2" s="94"/>
    </row>
    <row r="3" spans="2:12" s="92" customFormat="1" ht="48" customHeight="1" x14ac:dyDescent="0.15">
      <c r="B3" s="100" t="s">
        <v>3</v>
      </c>
      <c r="C3" s="1340"/>
      <c r="D3" s="1340"/>
      <c r="E3" s="1340"/>
      <c r="F3" s="1340"/>
      <c r="G3" s="1340"/>
      <c r="H3" s="1341"/>
      <c r="I3" s="94"/>
      <c r="J3" s="94"/>
      <c r="K3" s="94"/>
      <c r="L3" s="94"/>
    </row>
    <row r="4" spans="2:12" ht="36" customHeight="1" x14ac:dyDescent="0.15">
      <c r="B4" s="101" t="s">
        <v>45</v>
      </c>
      <c r="C4" s="1342"/>
      <c r="D4" s="1343"/>
      <c r="E4" s="102" t="s">
        <v>8</v>
      </c>
      <c r="F4" s="103" t="s">
        <v>35</v>
      </c>
      <c r="G4" s="104"/>
      <c r="H4" s="105"/>
    </row>
    <row r="5" spans="2:12" ht="36" customHeight="1" x14ac:dyDescent="0.15">
      <c r="B5" s="106" t="s">
        <v>46</v>
      </c>
      <c r="C5" s="1344"/>
      <c r="D5" s="1345"/>
      <c r="E5" s="107" t="s">
        <v>8</v>
      </c>
      <c r="F5" s="108" t="s">
        <v>38</v>
      </c>
      <c r="G5" s="109"/>
      <c r="H5" s="110"/>
    </row>
    <row r="6" spans="2:12" ht="36" customHeight="1" x14ac:dyDescent="0.15">
      <c r="B6" s="111" t="s">
        <v>47</v>
      </c>
      <c r="C6" s="1352"/>
      <c r="D6" s="1353"/>
      <c r="E6" s="112" t="s">
        <v>48</v>
      </c>
      <c r="F6" s="108" t="s">
        <v>49</v>
      </c>
      <c r="G6" s="109"/>
      <c r="H6" s="110"/>
    </row>
    <row r="7" spans="2:12" ht="36" customHeight="1" x14ac:dyDescent="0.15">
      <c r="B7" s="113" t="s">
        <v>50</v>
      </c>
      <c r="C7" s="114"/>
      <c r="D7" s="1354" t="s">
        <v>51</v>
      </c>
      <c r="E7" s="1355"/>
      <c r="F7" s="115" t="s">
        <v>41</v>
      </c>
      <c r="G7" s="116"/>
      <c r="H7" s="117"/>
    </row>
    <row r="8" spans="2:12" ht="36" customHeight="1" x14ac:dyDescent="0.15">
      <c r="B8" s="118" t="s">
        <v>39</v>
      </c>
      <c r="C8" s="119"/>
      <c r="D8" s="1356" t="s">
        <v>52</v>
      </c>
      <c r="E8" s="1357"/>
      <c r="F8" s="120" t="s">
        <v>53</v>
      </c>
      <c r="G8" s="121" t="s">
        <v>54</v>
      </c>
      <c r="H8" s="122"/>
    </row>
    <row r="9" spans="2:12" ht="36" customHeight="1" x14ac:dyDescent="0.15">
      <c r="B9" s="123" t="s">
        <v>55</v>
      </c>
      <c r="C9" s="124"/>
      <c r="D9" s="125" t="s">
        <v>56</v>
      </c>
      <c r="E9" s="126" t="s">
        <v>57</v>
      </c>
      <c r="F9" s="127" t="s">
        <v>58</v>
      </c>
      <c r="G9" s="1358" t="s">
        <v>59</v>
      </c>
      <c r="H9" s="1359"/>
    </row>
    <row r="10" spans="2:12" ht="82.5" customHeight="1" x14ac:dyDescent="0.15">
      <c r="B10" s="128" t="s">
        <v>60</v>
      </c>
      <c r="C10" s="1360" t="s">
        <v>61</v>
      </c>
      <c r="D10" s="1360"/>
      <c r="E10" s="1360"/>
      <c r="F10" s="1360"/>
      <c r="G10" s="1360"/>
      <c r="H10" s="1361"/>
    </row>
    <row r="11" spans="2:12" s="93" customFormat="1" ht="38.25" customHeight="1" x14ac:dyDescent="0.15">
      <c r="B11" s="129" t="s">
        <v>62</v>
      </c>
      <c r="C11" s="1346"/>
      <c r="D11" s="1347"/>
      <c r="E11" s="1347"/>
      <c r="F11" s="1347"/>
      <c r="G11" s="1347"/>
      <c r="H11" s="1348"/>
      <c r="I11" s="94"/>
      <c r="J11" s="94"/>
      <c r="K11" s="94"/>
      <c r="L11" s="94"/>
    </row>
    <row r="12" spans="2:12" s="93" customFormat="1" ht="76.5" customHeight="1" x14ac:dyDescent="0.15">
      <c r="B12" s="130" t="s">
        <v>63</v>
      </c>
      <c r="C12" s="1349"/>
      <c r="D12" s="1350"/>
      <c r="E12" s="1350"/>
      <c r="F12" s="1350"/>
      <c r="G12" s="1350"/>
      <c r="H12" s="1351"/>
      <c r="I12" s="94"/>
      <c r="J12" s="94"/>
      <c r="K12" s="94"/>
      <c r="L12" s="94"/>
    </row>
  </sheetData>
  <mergeCells count="12">
    <mergeCell ref="C11:H11"/>
    <mergeCell ref="C12:H12"/>
    <mergeCell ref="C6:D6"/>
    <mergeCell ref="D7:E7"/>
    <mergeCell ref="D8:E8"/>
    <mergeCell ref="G9:H9"/>
    <mergeCell ref="C10:H10"/>
    <mergeCell ref="C2:E2"/>
    <mergeCell ref="G2:H2"/>
    <mergeCell ref="C3:H3"/>
    <mergeCell ref="C4:D4"/>
    <mergeCell ref="C5:D5"/>
  </mergeCells>
  <phoneticPr fontId="100"/>
  <dataValidations count="1">
    <dataValidation type="list" allowBlank="1" showInputMessage="1" showErrorMessage="1" sqref="G4:G8 D7 E9" xr:uid="{00000000-0002-0000-0F00-000000000000}">
      <formula1>#REF!</formula1>
    </dataValidation>
  </dataValidations>
  <pageMargins left="0.25" right="0.25"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横長成分表_説明</vt:lpstr>
      <vt:lpstr>利用規約</vt:lpstr>
      <vt:lpstr>v3.13 成分表(これに入力してください)</vt:lpstr>
      <vt:lpstr>総合評価点数配分</vt:lpstr>
      <vt:lpstr>Sheet1</vt:lpstr>
      <vt:lpstr>参考データ</vt:lpstr>
      <vt:lpstr>入力_総合評価</vt:lpstr>
      <vt:lpstr>評価基準 (2)</vt:lpstr>
      <vt:lpstr>入力_成分表</vt:lpstr>
      <vt:lpstr>参考データ!Print_Area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応燕マサラ</dc:creator>
  <cp:lastModifiedBy>応燕マサラ</cp:lastModifiedBy>
  <cp:lastPrinted>2025-06-25T03:02:56Z</cp:lastPrinted>
  <dcterms:created xsi:type="dcterms:W3CDTF">2021-06-22T23:09:00Z</dcterms:created>
  <dcterms:modified xsi:type="dcterms:W3CDTF">2025-07-16T23:56:28Z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